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bnpparibas-my.sharepoint.com/personal/kenneth_rumes_bnpparibasfortis_com/Documents/Documents/"/>
    </mc:Choice>
  </mc:AlternateContent>
  <xr:revisionPtr revIDLastSave="1" documentId="13_ncr:1_{B85AD059-94C7-4860-B1AE-2A28295E8BDD}" xr6:coauthVersionLast="47" xr6:coauthVersionMax="47" xr10:uidLastSave="{EAA6CF75-EC19-48C9-92F6-02B9B22C7DF1}"/>
  <workbookProtection workbookAlgorithmName="SHA-512" workbookHashValue="iS9oZJ3h5/wu/f6qhfjEoztWkdILQpB+5NNECpn0GaidwgILQM6lHgI2e6pQBNmu7wy5HNKyzKSZq/YUVVkXXw==" workbookSaltValue="dQjnlkyW4zjra2k3tVUTDg==" workbookSpinCount="100000" lockStructure="1"/>
  <bookViews>
    <workbookView xWindow="-110" yWindow="-110" windowWidth="19420" windowHeight="10420" activeTab="2" xr2:uid="{EFE7E2AE-AF3A-40C8-89FD-CEDC0AB4C033}"/>
  </bookViews>
  <sheets>
    <sheet name="Infos Sheet - FR" sheetId="5" r:id="rId1"/>
    <sheet name="Infos Sheet - NL" sheetId="6" r:id="rId2"/>
    <sheet name="Plan Cafétaria - CafetariaPlan" sheetId="4" r:id="rId3"/>
  </sheets>
  <externalReferences>
    <externalReference r:id="rId4"/>
  </externalReferences>
  <definedNames>
    <definedName name="List1">[1]Sheet1!$A$8:$A$9</definedName>
    <definedName name="List1A">[1]Sheet1!$B$8:$B$9</definedName>
    <definedName name="List1B">[1]Sheet1!$C$8:$C$9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4" l="1"/>
  <c r="B14" i="4"/>
  <c r="B21" i="4"/>
  <c r="B40" i="4"/>
  <c r="B7" i="4"/>
  <c r="B41" i="4"/>
  <c r="B18" i="4"/>
  <c r="G13" i="4"/>
  <c r="C42" i="4"/>
  <c r="I12" i="4"/>
  <c r="C14" i="4" l="1"/>
  <c r="B17" i="4"/>
  <c r="I18" i="4"/>
  <c r="I17" i="4"/>
  <c r="B15" i="4" l="1"/>
  <c r="G25" i="4"/>
  <c r="G26" i="4"/>
  <c r="G24" i="4"/>
  <c r="G23" i="4"/>
  <c r="I13" i="4"/>
  <c r="H25" i="4" s="1"/>
  <c r="I16" i="4"/>
  <c r="G16" i="4"/>
  <c r="H22" i="4" l="1"/>
  <c r="C13" i="4"/>
  <c r="B9" i="4"/>
  <c r="G33" i="4" l="1"/>
  <c r="B10" i="4"/>
  <c r="G22" i="4"/>
  <c r="I10" i="4" l="1"/>
  <c r="G18" i="4"/>
  <c r="G19" i="4"/>
  <c r="B2" i="4" l="1"/>
  <c r="I6" i="4"/>
  <c r="G47" i="4"/>
  <c r="G44" i="4"/>
  <c r="G39" i="4"/>
  <c r="G37" i="4"/>
  <c r="G31" i="4" l="1"/>
  <c r="G35" i="4"/>
  <c r="G34" i="4"/>
  <c r="G32" i="4"/>
  <c r="G29" i="4"/>
  <c r="G28" i="4"/>
  <c r="G21" i="4"/>
  <c r="G17" i="4"/>
  <c r="G12" i="4"/>
  <c r="G11" i="4"/>
  <c r="G10" i="4"/>
  <c r="G9" i="4"/>
  <c r="G8" i="4"/>
  <c r="G6" i="4"/>
  <c r="B49" i="4"/>
  <c r="B48" i="4"/>
  <c r="B47" i="4"/>
  <c r="B46" i="4"/>
  <c r="B45" i="4"/>
  <c r="B44" i="4"/>
  <c r="B42" i="4"/>
  <c r="B39" i="4"/>
  <c r="B37" i="4"/>
  <c r="B35" i="4"/>
  <c r="B6" i="4"/>
  <c r="B33" i="4"/>
  <c r="B32" i="4"/>
  <c r="B31" i="4"/>
  <c r="B29" i="4"/>
  <c r="B27" i="4"/>
  <c r="B26" i="4"/>
  <c r="B25" i="4"/>
  <c r="B22" i="4"/>
  <c r="B20" i="4"/>
  <c r="B13" i="4"/>
  <c r="B12" i="4"/>
  <c r="B8" i="4"/>
  <c r="C10" i="4" l="1"/>
  <c r="C25" i="4" l="1"/>
  <c r="C27" i="4" s="1"/>
  <c r="H24" i="4"/>
  <c r="I11" i="4" l="1"/>
  <c r="H23" i="4" s="1"/>
  <c r="H33" i="4" s="1"/>
  <c r="I24" i="4" l="1"/>
  <c r="C32" i="4"/>
  <c r="C44" i="4" l="1"/>
  <c r="C12" i="4"/>
  <c r="C17" i="4" s="1"/>
  <c r="H26" i="4" l="1"/>
  <c r="I19" i="4" l="1"/>
  <c r="C48" i="4" s="1"/>
  <c r="H28" i="4"/>
  <c r="C29" i="4" s="1"/>
  <c r="C31" i="4" s="1"/>
  <c r="C46" i="4" l="1"/>
  <c r="C33" i="4"/>
  <c r="C35" i="4" s="1"/>
  <c r="C45" i="4" l="1"/>
  <c r="C49" i="4" s="1"/>
  <c r="H32" i="4"/>
  <c r="H34" i="4" s="1"/>
  <c r="H3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Halet Michael</author>
  </authors>
  <commentList>
    <comment ref="H35" authorId="0" shapeId="0" xr:uid="{FB8C7A53-B3A5-401A-94F8-B56D1781D08F}">
      <text>
        <r>
          <rPr>
            <b/>
            <sz val="9"/>
            <color indexed="81"/>
            <rFont val="Tahoma"/>
            <family val="2"/>
          </rPr>
          <t xml:space="preserve">Attention ce coût peut être différent si votre réserve de units n'est pas suffisante pour couvrir une année complète
</t>
        </r>
        <r>
          <rPr>
            <sz val="9"/>
            <color indexed="81"/>
            <rFont val="Tahoma"/>
            <family val="2"/>
          </rPr>
          <t xml:space="preserve">
</t>
        </r>
      </text>
    </comment>
  </commentList>
</comments>
</file>

<file path=xl/sharedStrings.xml><?xml version="1.0" encoding="utf-8"?>
<sst xmlns="http://schemas.openxmlformats.org/spreadsheetml/2006/main" count="163" uniqueCount="116">
  <si>
    <t xml:space="preserve">        Cet outil vous est donné à but informatif et nous ne pouvons en aucun cas être tenu pour responsables en cas de mauvaise Utilisation / Simulation pour votre situation personnelle</t>
  </si>
  <si>
    <t>Le Sheet plan cafétaria est composé de plusieurs blocs :</t>
  </si>
  <si>
    <t>Informations Générales</t>
  </si>
  <si>
    <t>Composition du plan cafétaria</t>
  </si>
  <si>
    <t xml:space="preserve">Impact en units de la composition du Plan cafétaria </t>
  </si>
  <si>
    <t>Coût de votre Plan cafétaria en Net</t>
  </si>
  <si>
    <t>Impact de vos nouveaux choix plan cafétaria sur votre salaire</t>
  </si>
  <si>
    <t>Seules les cellules en vert doivent être remplies, il se peut qu'en fonction de vos choix ou de vos introductions, des cellules passent du gris au vert.</t>
  </si>
  <si>
    <t>Toutes les cellules grises sont des cellules où la valeur, si elles restent grises, sont calculées automatiquement.</t>
  </si>
  <si>
    <t>Commencer l'introduction des données nécessaires :</t>
  </si>
  <si>
    <t>Cellule</t>
  </si>
  <si>
    <t>Information disponible sur / dans</t>
  </si>
  <si>
    <t>Informations générales</t>
  </si>
  <si>
    <t xml:space="preserve">salaire brut RBMF    </t>
  </si>
  <si>
    <t>Sur votre fiche de paie</t>
  </si>
  <si>
    <t>Si salaire suppérieur à 5080 au 1er janvier 2022    (OMFU)</t>
  </si>
  <si>
    <t>Composition de votre plan cafétaria</t>
  </si>
  <si>
    <t xml:space="preserve">Voiture cafétaria  OUI/NON    </t>
  </si>
  <si>
    <t>Indiquez votre choix concernant le plan de pension (disponible uniquement si vous avez des OMFU)</t>
  </si>
  <si>
    <t xml:space="preserve">choisissez votre type d'abonnement SNCB / NMBS    </t>
  </si>
  <si>
    <t>H8</t>
  </si>
  <si>
    <t xml:space="preserve">Introduisez le montant de votre abonnement STIB / De Lijn    </t>
  </si>
  <si>
    <t>H9</t>
  </si>
  <si>
    <t>Cafétaria Tool / My Benefits</t>
  </si>
  <si>
    <t xml:space="preserve">Introduisez le montant de vos choix multimédias : Ipad - Iphone - Abonnement Tel     </t>
  </si>
  <si>
    <t>H10</t>
  </si>
  <si>
    <t xml:space="preserve">Choix entre voiture Cafétaria ou voiture de Pool    </t>
  </si>
  <si>
    <t>H11</t>
  </si>
  <si>
    <t xml:space="preserve">Choix entre essence-diesel / Hybride - électrique    </t>
  </si>
  <si>
    <t>H12</t>
  </si>
  <si>
    <t xml:space="preserve">Le taux d'imposition est fixé au taux marginal    </t>
  </si>
  <si>
    <t>Montrera la situation la plus coûteuse de votre plan cafétaria</t>
  </si>
  <si>
    <t xml:space="preserve">ATN annuel de votre nouvelle voiture    </t>
  </si>
  <si>
    <t>disponible sur MyArval lors de la simulation de votre nouveau véhicule ou en mensuel sur votre fiche de paye en  /162</t>
  </si>
  <si>
    <t>Si vous avez une réserve de units introduisez le nombre de units disponnibles</t>
  </si>
  <si>
    <t>C17</t>
  </si>
  <si>
    <t>Cafétaria Tool / My Units account</t>
  </si>
  <si>
    <t xml:space="preserve">TCO Réel    </t>
  </si>
  <si>
    <t>Nombre de Units nécessaires pour la voiture</t>
  </si>
  <si>
    <t>Calculé automatiquement en fonction du TCO Réel</t>
  </si>
  <si>
    <t>Units disponibles pour la voiture</t>
  </si>
  <si>
    <t>C23</t>
  </si>
  <si>
    <r>
      <t xml:space="preserve">Si </t>
    </r>
    <r>
      <rPr>
        <b/>
        <i/>
        <sz val="11"/>
        <color theme="1"/>
        <rFont val="Calibri"/>
        <family val="2"/>
        <scheme val="minor"/>
      </rPr>
      <t xml:space="preserve">&lt; </t>
    </r>
    <r>
      <rPr>
        <i/>
        <sz val="11"/>
        <color theme="1"/>
        <rFont val="Calibri"/>
        <family val="2"/>
        <scheme val="minor"/>
      </rPr>
      <t xml:space="preserve">à C21 </t>
    </r>
    <r>
      <rPr>
        <b/>
        <i/>
        <sz val="11"/>
        <color theme="1"/>
        <rFont val="Calibri"/>
        <family val="2"/>
        <scheme val="minor"/>
      </rPr>
      <t>=&gt;</t>
    </r>
    <r>
      <rPr>
        <i/>
        <sz val="11"/>
        <color theme="1"/>
        <rFont val="Calibri"/>
        <family val="2"/>
        <scheme val="minor"/>
      </rPr>
      <t xml:space="preserve"> Contribution personnelle 
Si </t>
    </r>
    <r>
      <rPr>
        <b/>
        <i/>
        <sz val="11"/>
        <color theme="1"/>
        <rFont val="Calibri"/>
        <family val="2"/>
        <scheme val="minor"/>
      </rPr>
      <t>=</t>
    </r>
    <r>
      <rPr>
        <i/>
        <sz val="11"/>
        <color theme="1"/>
        <rFont val="Calibri"/>
        <family val="2"/>
        <scheme val="minor"/>
      </rPr>
      <t xml:space="preserve"> à C21 </t>
    </r>
    <r>
      <rPr>
        <b/>
        <i/>
        <sz val="11"/>
        <color theme="1"/>
        <rFont val="Calibri"/>
        <family val="2"/>
        <scheme val="minor"/>
      </rPr>
      <t>=&gt;</t>
    </r>
    <r>
      <rPr>
        <i/>
        <sz val="11"/>
        <color theme="1"/>
        <rFont val="Calibri"/>
        <family val="2"/>
        <scheme val="minor"/>
      </rPr>
      <t xml:space="preserve"> Suffisament de Units</t>
    </r>
  </si>
  <si>
    <t xml:space="preserve">Remarque : </t>
  </si>
  <si>
    <t>Calcul de la contribution en Units de votre voiture</t>
  </si>
  <si>
    <t>5% salaire brut + 150 units - (TCO - TCO Réel)</t>
  </si>
  <si>
    <t xml:space="preserve">                Deze tool wordt u ter informatie gegeven en wij kunnen op geen enkele manier verantwoordelijk worden gehouden in geval van foutief gebruik / Simulatie voor uw persoonlijke situatie.		
		</t>
  </si>
  <si>
    <t>Dit plan is samengesteld uit verschillende delen :</t>
  </si>
  <si>
    <t>Algemene informatie</t>
  </si>
  <si>
    <t>Samenstelling van het cafetariaplan</t>
  </si>
  <si>
    <t xml:space="preserve">Impact in units bij de samenstelling van het cafetariaplan </t>
  </si>
  <si>
    <t>Netto kostprijs van uw cafetariaplan</t>
  </si>
  <si>
    <t xml:space="preserve">        Impact van uw nieuwe keuzes in het cafetariaplan op uw salaris
</t>
  </si>
  <si>
    <t xml:space="preserve">        Alleen de cellen in het groen dienen ingevuld te worden, het kan zijn dat afhankelijk van je keuzes  cellen veranderen van grijs naar groen.		
Alle grijze cellen zijn cellen waarvan de waarde, als ze grijs blijven, automatisch worden berekend.		
</t>
  </si>
  <si>
    <t xml:space="preserve">        Start de introductie van de noodzakelijke gegevens:
</t>
  </si>
  <si>
    <t>Cel</t>
  </si>
  <si>
    <t>Informatie beschikbaar in /op</t>
  </si>
  <si>
    <t>Bruto salaris ( VMBL)</t>
  </si>
  <si>
    <t>zie loonfiche</t>
  </si>
  <si>
    <t>Indien salaris hoger dan 5080,00 EUR op 1 januari 2022 ( MVTU)</t>
  </si>
  <si>
    <t>Cafetariawagen    JA / NEEN</t>
  </si>
  <si>
    <t xml:space="preserve">Geef uw keuze aan met betrekking tot de pensioenregeling (alleen beschikbaar als u MVTU heeft)
</t>
  </si>
  <si>
    <t>Kies uw type abonnement  NMBS</t>
  </si>
  <si>
    <t>Vul hier het bedrag van uw abonnement in ( de LIJN)</t>
  </si>
  <si>
    <t>Cafetaria Tool / My Benefits</t>
  </si>
  <si>
    <t xml:space="preserve">Vul het bedrag van uw multimediakeuze in : Ipad - Iphone - Abonnement Tel </t>
  </si>
  <si>
    <t>Keuze tussen cafetariawagen of poolwagen</t>
  </si>
  <si>
    <t xml:space="preserve">Het belastingtarief wordt vastgesteld aan  de marginale aanslagvoet    
    </t>
  </si>
  <si>
    <t xml:space="preserve">Toont de duurste situatie/keuze van uw cafetariaplan </t>
  </si>
  <si>
    <t>VAA (jaarlijks) van uw nieuwe wagen</t>
  </si>
  <si>
    <t xml:space="preserve">beschikbaar op MyArval tijdens de simulatie van uw nieuwe voertuig of maandelijks op uw loonstrook in /162
</t>
  </si>
  <si>
    <t>Voer hier het aantal beschikbare units in ( indien reserve)</t>
  </si>
  <si>
    <t>Cafetaria Tool / My Units account</t>
  </si>
  <si>
    <t>TCO ( Reëel)</t>
  </si>
  <si>
    <t>Aantal units ( nodig voor de nieuwe wagen)</t>
  </si>
  <si>
    <t xml:space="preserve">
Automatisch berekend op basis van werkelijke TCO</t>
  </si>
  <si>
    <t>Besckibare units voor de wagen</t>
  </si>
  <si>
    <t xml:space="preserve">
Indien &lt;  C21 = &gt; Eigen bijdrage 
Als =  C21 = &gt; genoeg units
</t>
  </si>
  <si>
    <t>Opmerking :</t>
  </si>
  <si>
    <t>Berekening van de bijdrage in Units van uw wagen</t>
  </si>
  <si>
    <t>5% bruto salaris+150 units - ( TCO - Reëel TCO)</t>
  </si>
  <si>
    <t>Langue / Taal</t>
  </si>
  <si>
    <t>C8</t>
  </si>
  <si>
    <t>C9</t>
  </si>
  <si>
    <t>H13</t>
  </si>
  <si>
    <t>H14</t>
  </si>
  <si>
    <t>C18</t>
  </si>
  <si>
    <t>C19</t>
  </si>
  <si>
    <t>C22</t>
  </si>
  <si>
    <t>C25</t>
  </si>
  <si>
    <t>Charge Pack</t>
  </si>
  <si>
    <t>Cafetaria</t>
  </si>
  <si>
    <t>Non/Nee</t>
  </si>
  <si>
    <r>
      <t xml:space="preserve">                                           </t>
    </r>
    <r>
      <rPr>
        <b/>
        <i/>
        <sz val="20"/>
        <color theme="1"/>
        <rFont val="Calibri"/>
        <family val="2"/>
        <scheme val="minor"/>
      </rPr>
      <t xml:space="preserve"> Mobility Plan </t>
    </r>
  </si>
  <si>
    <t xml:space="preserve">                       Abonnement Voice &amp; Data – Smartphone</t>
  </si>
  <si>
    <t>C15</t>
  </si>
  <si>
    <t>C16</t>
  </si>
  <si>
    <t>C20</t>
  </si>
  <si>
    <t>C21</t>
  </si>
  <si>
    <t>Developed By : Halet Michaël                                              Version 3.0</t>
  </si>
  <si>
    <t>Electrique / Elektrische</t>
  </si>
  <si>
    <t>Oui/Ja</t>
  </si>
  <si>
    <t>Multimedia Plan - Internet At Home</t>
  </si>
  <si>
    <t>Mobility Plan</t>
  </si>
  <si>
    <t>My Units Account</t>
  </si>
  <si>
    <t>Voice &amp; Data - Smartphone Plan (Voucher)</t>
  </si>
  <si>
    <t>C40</t>
  </si>
  <si>
    <t>C41</t>
  </si>
  <si>
    <t>Contribution personnelle voiture (fiche de paye 5CUN)</t>
  </si>
  <si>
    <t>ATN mensuel ancien Véhicule (fiche de paye /162)</t>
  </si>
  <si>
    <t>Fiche de paye</t>
  </si>
  <si>
    <t>ATN minimum 2023 = 1.540 euros</t>
  </si>
  <si>
    <t>VAA minimum 2023 = 1540,00€</t>
  </si>
  <si>
    <t>Non / Nee</t>
  </si>
  <si>
    <t>Pool</t>
  </si>
  <si>
    <t>NL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</si>
</sst>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5" x14ac:knownFonts="1">
    <font>
      <sz val="11"/>
      <color theme="1"/>
      <name val="Calibri"/>
      <family val="2"/>
      <scheme val="minor"/>
    </font>
    <font>
      <b/>
      <sz val="11"/>
      <color theme="1"/>
      <name val="Calibri"/>
      <family val="2"/>
      <scheme val="minor"/>
    </font>
    <font>
      <b/>
      <sz val="11"/>
      <color rgb="FFFF0000"/>
      <name val="Calibri"/>
      <family val="2"/>
      <scheme val="minor"/>
    </font>
    <font>
      <i/>
      <sz val="11"/>
      <color theme="1"/>
      <name val="Calibri"/>
      <family val="2"/>
      <scheme val="minor"/>
    </font>
    <font>
      <b/>
      <sz val="11"/>
      <color rgb="FF0070C0"/>
      <name val="Calibri"/>
      <family val="2"/>
      <scheme val="minor"/>
    </font>
    <font>
      <b/>
      <i/>
      <sz val="11"/>
      <color theme="1"/>
      <name val="Calibri"/>
      <family val="2"/>
      <scheme val="minor"/>
    </font>
    <font>
      <sz val="11"/>
      <color theme="1"/>
      <name val="Calibri"/>
      <family val="2"/>
      <scheme val="minor"/>
    </font>
    <font>
      <sz val="11"/>
      <color theme="0"/>
      <name val="Calibri"/>
      <family val="2"/>
      <scheme val="minor"/>
    </font>
    <font>
      <b/>
      <sz val="11"/>
      <color theme="5" tint="-0.249977111117893"/>
      <name val="Calibri"/>
      <family val="2"/>
      <scheme val="minor"/>
    </font>
    <font>
      <b/>
      <i/>
      <sz val="12"/>
      <color theme="0"/>
      <name val="Calibri"/>
      <family val="2"/>
      <scheme val="minor"/>
    </font>
    <font>
      <b/>
      <i/>
      <sz val="12"/>
      <color theme="1"/>
      <name val="Calibri"/>
      <family val="2"/>
      <scheme val="minor"/>
    </font>
    <font>
      <b/>
      <i/>
      <sz val="11"/>
      <color rgb="FFFF0000"/>
      <name val="Calibri"/>
      <family val="2"/>
      <scheme val="minor"/>
    </font>
    <font>
      <b/>
      <i/>
      <sz val="11"/>
      <name val="Calibri"/>
      <family val="2"/>
      <scheme val="minor"/>
    </font>
    <font>
      <sz val="9"/>
      <color indexed="81"/>
      <name val="Tahoma"/>
      <family val="2"/>
    </font>
    <font>
      <b/>
      <sz val="9"/>
      <color indexed="81"/>
      <name val="Tahoma"/>
      <family val="2"/>
    </font>
    <font>
      <b/>
      <i/>
      <sz val="12"/>
      <color rgb="FFFF0000"/>
      <name val="Calibri"/>
      <family val="2"/>
      <scheme val="minor"/>
    </font>
    <font>
      <b/>
      <i/>
      <u/>
      <sz val="11"/>
      <color theme="1"/>
      <name val="Calibri"/>
      <family val="2"/>
      <scheme val="minor"/>
    </font>
    <font>
      <b/>
      <i/>
      <u/>
      <sz val="11"/>
      <name val="Calibri"/>
      <family val="2"/>
      <scheme val="minor"/>
    </font>
    <font>
      <i/>
      <sz val="11"/>
      <color rgb="FF000000"/>
      <name val="Calibri"/>
      <family val="2"/>
      <scheme val="minor"/>
    </font>
    <font>
      <b/>
      <i/>
      <sz val="11"/>
      <color rgb="FF0070C0"/>
      <name val="Calibri"/>
      <family val="2"/>
      <scheme val="minor"/>
    </font>
    <font>
      <b/>
      <i/>
      <sz val="14"/>
      <color theme="1"/>
      <name val="Calibri"/>
      <family val="2"/>
      <scheme val="minor"/>
    </font>
    <font>
      <b/>
      <i/>
      <sz val="20"/>
      <color theme="1"/>
      <name val="Calibri"/>
      <family val="2"/>
      <scheme val="minor"/>
    </font>
    <font>
      <sz val="11"/>
      <name val="Calibri"/>
      <family val="2"/>
      <scheme val="minor"/>
    </font>
    <font>
      <i/>
      <sz val="11"/>
      <name val="Calibri"/>
      <family val="2"/>
      <scheme val="minor"/>
    </font>
    <font>
      <b/>
      <sz val="12"/>
      <color theme="1"/>
      <name val="Calibri"/>
      <family val="2"/>
      <scheme val="minor"/>
    </font>
  </fonts>
  <fills count="13">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rgb="FF99FF99"/>
        <bgColor indexed="64"/>
      </patternFill>
    </fill>
    <fill>
      <patternFill patternType="solid">
        <fgColor theme="0" tint="-0.14999847407452621"/>
        <bgColor indexed="64"/>
      </patternFill>
    </fill>
    <fill>
      <patternFill patternType="solid">
        <fgColor rgb="FF66FF66"/>
        <bgColor indexed="64"/>
      </patternFill>
    </fill>
    <fill>
      <patternFill patternType="solid">
        <fgColor rgb="FF00B050"/>
        <bgColor indexed="64"/>
      </patternFill>
    </fill>
    <fill>
      <patternFill patternType="solid">
        <fgColor theme="8" tint="0.79998168889431442"/>
        <bgColor indexed="64"/>
      </patternFill>
    </fill>
    <fill>
      <patternFill patternType="solid">
        <fgColor rgb="FFE5E5E5"/>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120">
    <xf numFmtId="0" fontId="0" fillId="0" borderId="0" xfId="0"/>
    <xf numFmtId="0" fontId="0" fillId="0" borderId="0" xfId="0" applyProtection="1">
      <protection hidden="1"/>
    </xf>
    <xf numFmtId="0" fontId="0" fillId="0" borderId="0" xfId="0" applyAlignment="1" applyProtection="1">
      <alignment horizontal="right"/>
      <protection hidden="1"/>
    </xf>
    <xf numFmtId="0" fontId="0" fillId="5" borderId="11" xfId="0" applyFill="1" applyBorder="1" applyProtection="1">
      <protection hidden="1"/>
    </xf>
    <xf numFmtId="0" fontId="1" fillId="5" borderId="1" xfId="0" applyFont="1" applyFill="1" applyBorder="1" applyAlignment="1" applyProtection="1">
      <alignment horizontal="center" vertical="center" wrapText="1"/>
      <protection hidden="1"/>
    </xf>
    <xf numFmtId="0" fontId="0" fillId="5" borderId="12" xfId="0" applyFill="1" applyBorder="1" applyProtection="1">
      <protection hidden="1"/>
    </xf>
    <xf numFmtId="0" fontId="3" fillId="0" borderId="1" xfId="0" applyFont="1" applyBorder="1" applyProtection="1">
      <protection hidden="1"/>
    </xf>
    <xf numFmtId="0" fontId="5" fillId="0" borderId="1" xfId="0" applyFont="1" applyBorder="1" applyProtection="1">
      <protection hidden="1"/>
    </xf>
    <xf numFmtId="4" fontId="1" fillId="5" borderId="1" xfId="0" applyNumberFormat="1" applyFont="1" applyFill="1" applyBorder="1" applyProtection="1">
      <protection hidden="1"/>
    </xf>
    <xf numFmtId="3" fontId="1" fillId="5" borderId="1" xfId="0" applyNumberFormat="1" applyFont="1" applyFill="1" applyBorder="1" applyAlignment="1" applyProtection="1">
      <alignment horizontal="right"/>
      <protection hidden="1"/>
    </xf>
    <xf numFmtId="3" fontId="1" fillId="5" borderId="1" xfId="0" applyNumberFormat="1" applyFont="1" applyFill="1" applyBorder="1" applyProtection="1">
      <protection hidden="1"/>
    </xf>
    <xf numFmtId="0" fontId="5" fillId="0" borderId="7" xfId="0" applyFont="1" applyBorder="1" applyProtection="1">
      <protection hidden="1"/>
    </xf>
    <xf numFmtId="0" fontId="3" fillId="0" borderId="0" xfId="0" applyFont="1" applyProtection="1">
      <protection hidden="1"/>
    </xf>
    <xf numFmtId="3" fontId="1" fillId="2" borderId="1" xfId="0" applyNumberFormat="1" applyFont="1" applyFill="1" applyBorder="1" applyProtection="1">
      <protection hidden="1"/>
    </xf>
    <xf numFmtId="0" fontId="3" fillId="0" borderId="1" xfId="0" applyFont="1" applyBorder="1" applyAlignment="1" applyProtection="1">
      <alignment vertical="center"/>
      <protection hidden="1"/>
    </xf>
    <xf numFmtId="3" fontId="1" fillId="5" borderId="9" xfId="0" applyNumberFormat="1" applyFont="1" applyFill="1" applyBorder="1" applyAlignment="1" applyProtection="1">
      <alignment horizontal="right"/>
      <protection hidden="1"/>
    </xf>
    <xf numFmtId="3" fontId="5" fillId="5" borderId="2" xfId="0" applyNumberFormat="1" applyFont="1" applyFill="1" applyBorder="1" applyAlignment="1" applyProtection="1">
      <alignment horizontal="right"/>
      <protection hidden="1"/>
    </xf>
    <xf numFmtId="10" fontId="1" fillId="5" borderId="1" xfId="2" applyNumberFormat="1" applyFont="1" applyFill="1" applyBorder="1" applyProtection="1">
      <protection hidden="1"/>
    </xf>
    <xf numFmtId="0" fontId="4" fillId="0" borderId="1" xfId="0" applyFont="1" applyBorder="1" applyProtection="1">
      <protection hidden="1"/>
    </xf>
    <xf numFmtId="0" fontId="7" fillId="0" borderId="0" xfId="0" applyFont="1" applyProtection="1">
      <protection hidden="1"/>
    </xf>
    <xf numFmtId="0" fontId="5" fillId="0" borderId="0" xfId="0" applyFont="1" applyAlignment="1" applyProtection="1">
      <alignment horizontal="right"/>
      <protection hidden="1"/>
    </xf>
    <xf numFmtId="0" fontId="2" fillId="0" borderId="0" xfId="0" applyFont="1" applyProtection="1">
      <protection hidden="1"/>
    </xf>
    <xf numFmtId="44" fontId="2" fillId="5" borderId="1" xfId="1" applyFont="1" applyFill="1" applyBorder="1" applyProtection="1">
      <protection hidden="1"/>
    </xf>
    <xf numFmtId="1" fontId="1" fillId="5" borderId="1" xfId="0" applyNumberFormat="1" applyFont="1" applyFill="1" applyBorder="1" applyProtection="1">
      <protection hidden="1"/>
    </xf>
    <xf numFmtId="4" fontId="8" fillId="3" borderId="1" xfId="0" applyNumberFormat="1" applyFont="1" applyFill="1" applyBorder="1" applyProtection="1">
      <protection hidden="1"/>
    </xf>
    <xf numFmtId="0" fontId="5" fillId="0" borderId="13" xfId="0" applyFont="1" applyBorder="1" applyProtection="1">
      <protection hidden="1"/>
    </xf>
    <xf numFmtId="4" fontId="8" fillId="3" borderId="13" xfId="0" applyNumberFormat="1" applyFont="1" applyFill="1" applyBorder="1" applyProtection="1">
      <protection hidden="1"/>
    </xf>
    <xf numFmtId="4" fontId="8" fillId="8" borderId="2" xfId="0" applyNumberFormat="1" applyFont="1" applyFill="1" applyBorder="1" applyProtection="1">
      <protection hidden="1"/>
    </xf>
    <xf numFmtId="2" fontId="2" fillId="5" borderId="1" xfId="0" applyNumberFormat="1" applyFont="1" applyFill="1" applyBorder="1" applyProtection="1">
      <protection hidden="1"/>
    </xf>
    <xf numFmtId="0" fontId="5" fillId="8" borderId="2" xfId="0" applyFont="1" applyFill="1" applyBorder="1" applyProtection="1">
      <protection hidden="1"/>
    </xf>
    <xf numFmtId="0" fontId="1" fillId="0" borderId="0" xfId="0" applyFont="1" applyProtection="1">
      <protection hidden="1"/>
    </xf>
    <xf numFmtId="0" fontId="0" fillId="9" borderId="0" xfId="0" applyFill="1" applyProtection="1">
      <protection hidden="1"/>
    </xf>
    <xf numFmtId="0" fontId="0" fillId="9" borderId="0" xfId="0" applyFill="1" applyAlignment="1" applyProtection="1">
      <alignment horizontal="right"/>
      <protection hidden="1"/>
    </xf>
    <xf numFmtId="0" fontId="0" fillId="5" borderId="2" xfId="0" applyFill="1" applyBorder="1" applyProtection="1">
      <protection hidden="1"/>
    </xf>
    <xf numFmtId="4" fontId="1" fillId="4" borderId="1" xfId="0" applyNumberFormat="1" applyFont="1" applyFill="1" applyBorder="1" applyProtection="1">
      <protection locked="0"/>
    </xf>
    <xf numFmtId="3" fontId="1" fillId="4" borderId="1" xfId="0" applyNumberFormat="1" applyFont="1" applyFill="1" applyBorder="1" applyProtection="1">
      <protection locked="0"/>
    </xf>
    <xf numFmtId="0" fontId="1" fillId="4" borderId="1" xfId="0" applyFont="1" applyFill="1" applyBorder="1" applyAlignment="1" applyProtection="1">
      <alignment horizontal="right"/>
      <protection locked="0"/>
    </xf>
    <xf numFmtId="0" fontId="0" fillId="3" borderId="0" xfId="0" applyFill="1" applyProtection="1">
      <protection hidden="1"/>
    </xf>
    <xf numFmtId="0" fontId="0" fillId="3" borderId="0" xfId="0" applyFill="1" applyAlignment="1" applyProtection="1">
      <alignment horizontal="right"/>
      <protection hidden="1"/>
    </xf>
    <xf numFmtId="0" fontId="1" fillId="3" borderId="0" xfId="0" applyFont="1" applyFill="1" applyAlignment="1" applyProtection="1">
      <alignment vertical="top"/>
      <protection hidden="1"/>
    </xf>
    <xf numFmtId="0" fontId="1" fillId="3" borderId="15" xfId="0" applyFont="1" applyFill="1" applyBorder="1" applyAlignment="1" applyProtection="1">
      <alignment vertical="top"/>
      <protection hidden="1"/>
    </xf>
    <xf numFmtId="0" fontId="1" fillId="3" borderId="16" xfId="0" applyFont="1" applyFill="1" applyBorder="1" applyAlignment="1" applyProtection="1">
      <alignment vertical="top"/>
      <protection hidden="1"/>
    </xf>
    <xf numFmtId="0" fontId="1" fillId="3" borderId="3" xfId="0" applyFont="1" applyFill="1" applyBorder="1" applyAlignment="1" applyProtection="1">
      <alignment vertical="top"/>
      <protection hidden="1"/>
    </xf>
    <xf numFmtId="0" fontId="0" fillId="3" borderId="3" xfId="0" applyFill="1" applyBorder="1" applyProtection="1">
      <protection hidden="1"/>
    </xf>
    <xf numFmtId="0" fontId="0" fillId="3" borderId="5" xfId="0" applyFill="1" applyBorder="1" applyAlignment="1" applyProtection="1">
      <alignment horizontal="right"/>
      <protection hidden="1"/>
    </xf>
    <xf numFmtId="0" fontId="0" fillId="3" borderId="6" xfId="0" applyFill="1" applyBorder="1" applyProtection="1">
      <protection hidden="1"/>
    </xf>
    <xf numFmtId="0" fontId="18" fillId="0" borderId="1" xfId="0" applyFont="1" applyBorder="1" applyProtection="1">
      <protection hidden="1"/>
    </xf>
    <xf numFmtId="0" fontId="4" fillId="3" borderId="1" xfId="0" applyFont="1" applyFill="1" applyBorder="1" applyProtection="1">
      <protection hidden="1"/>
    </xf>
    <xf numFmtId="0" fontId="5" fillId="11" borderId="1" xfId="0" applyFont="1" applyFill="1" applyBorder="1" applyAlignment="1" applyProtection="1">
      <alignment horizontal="center" vertical="center"/>
      <protection hidden="1"/>
    </xf>
    <xf numFmtId="0" fontId="0" fillId="5" borderId="0" xfId="0" applyFill="1" applyProtection="1">
      <protection hidden="1"/>
    </xf>
    <xf numFmtId="3" fontId="1" fillId="10" borderId="1" xfId="0" applyNumberFormat="1" applyFont="1" applyFill="1" applyBorder="1" applyAlignment="1" applyProtection="1">
      <alignment horizontal="right"/>
      <protection locked="0"/>
    </xf>
    <xf numFmtId="3" fontId="1" fillId="5" borderId="1" xfId="0" applyNumberFormat="1" applyFont="1" applyFill="1" applyBorder="1" applyAlignment="1" applyProtection="1">
      <alignment horizontal="right"/>
      <protection locked="0"/>
    </xf>
    <xf numFmtId="0" fontId="1" fillId="5" borderId="1" xfId="0" applyFont="1" applyFill="1" applyBorder="1" applyAlignment="1" applyProtection="1">
      <alignment horizontal="right"/>
      <protection locked="0"/>
    </xf>
    <xf numFmtId="0" fontId="3" fillId="0" borderId="0" xfId="0" applyFont="1" applyBorder="1" applyProtection="1">
      <protection hidden="1"/>
    </xf>
    <xf numFmtId="0" fontId="19" fillId="0" borderId="1" xfId="0" applyFont="1" applyBorder="1" applyProtection="1">
      <protection hidden="1"/>
    </xf>
    <xf numFmtId="44" fontId="0" fillId="4" borderId="1" xfId="1" applyNumberFormat="1" applyFont="1" applyFill="1" applyBorder="1" applyProtection="1">
      <protection locked="0"/>
    </xf>
    <xf numFmtId="44" fontId="0" fillId="5" borderId="1" xfId="1" applyNumberFormat="1" applyFont="1" applyFill="1" applyBorder="1" applyProtection="1">
      <protection hidden="1"/>
    </xf>
    <xf numFmtId="44" fontId="0" fillId="0" borderId="0" xfId="0" applyNumberFormat="1" applyProtection="1">
      <protection hidden="1"/>
    </xf>
    <xf numFmtId="44" fontId="2" fillId="5" borderId="1" xfId="1" applyNumberFormat="1" applyFont="1" applyFill="1" applyBorder="1" applyProtection="1">
      <protection hidden="1"/>
    </xf>
    <xf numFmtId="44" fontId="1" fillId="5" borderId="1" xfId="1" applyNumberFormat="1" applyFont="1" applyFill="1" applyBorder="1" applyProtection="1">
      <protection hidden="1"/>
    </xf>
    <xf numFmtId="0" fontId="23" fillId="0" borderId="1" xfId="0" applyFont="1" applyBorder="1" applyProtection="1">
      <protection hidden="1"/>
    </xf>
    <xf numFmtId="0" fontId="19" fillId="0" borderId="1" xfId="0" applyFont="1" applyBorder="1" applyAlignment="1" applyProtection="1">
      <alignment vertical="center"/>
      <protection hidden="1"/>
    </xf>
    <xf numFmtId="4" fontId="24" fillId="4" borderId="1" xfId="0" applyNumberFormat="1" applyFont="1" applyFill="1" applyBorder="1" applyAlignment="1" applyProtection="1">
      <alignment horizontal="center" vertical="center"/>
      <protection locked="0"/>
    </xf>
    <xf numFmtId="3" fontId="1" fillId="12" borderId="1" xfId="0" applyNumberFormat="1" applyFont="1" applyFill="1" applyBorder="1" applyProtection="1">
      <protection locked="0"/>
    </xf>
    <xf numFmtId="0" fontId="12" fillId="6" borderId="12" xfId="0" applyFont="1" applyFill="1" applyBorder="1" applyAlignment="1" applyProtection="1">
      <alignment horizontal="left" vertical="center" wrapText="1"/>
      <protection hidden="1"/>
    </xf>
    <xf numFmtId="0" fontId="16" fillId="0" borderId="0" xfId="0" applyFont="1" applyAlignment="1" applyProtection="1">
      <alignment horizontal="left" vertical="center"/>
      <protection hidden="1"/>
    </xf>
    <xf numFmtId="0" fontId="3" fillId="0" borderId="0" xfId="0" applyFont="1" applyAlignment="1" applyProtection="1">
      <alignment horizontal="left" vertical="center" indent="1"/>
      <protection hidden="1"/>
    </xf>
    <xf numFmtId="0" fontId="5" fillId="0" borderId="0" xfId="0" applyFont="1" applyAlignment="1" applyProtection="1">
      <alignment horizontal="left" vertical="center"/>
      <protection hidden="1"/>
    </xf>
    <xf numFmtId="0" fontId="5" fillId="0" borderId="0" xfId="0" applyFont="1" applyProtection="1">
      <protection hidden="1"/>
    </xf>
    <xf numFmtId="0" fontId="5" fillId="4" borderId="0" xfId="0" applyFont="1" applyFill="1" applyAlignment="1" applyProtection="1">
      <alignment horizontal="center" vertical="center"/>
      <protection hidden="1"/>
    </xf>
    <xf numFmtId="0" fontId="5" fillId="0" borderId="0" xfId="0" applyFont="1" applyAlignment="1" applyProtection="1">
      <alignment horizontal="left"/>
      <protection hidden="1"/>
    </xf>
    <xf numFmtId="0" fontId="5" fillId="0" borderId="0" xfId="0" applyFont="1" applyAlignment="1" applyProtection="1">
      <alignment horizontal="center"/>
      <protection hidden="1"/>
    </xf>
    <xf numFmtId="0" fontId="3" fillId="0" borderId="0" xfId="0" applyFont="1" applyAlignment="1" applyProtection="1">
      <alignment horizontal="left" indent="1"/>
      <protection hidden="1"/>
    </xf>
    <xf numFmtId="0" fontId="3" fillId="0" borderId="0" xfId="0" applyFont="1" applyAlignment="1" applyProtection="1">
      <alignment horizontal="center"/>
      <protection hidden="1"/>
    </xf>
    <xf numFmtId="0" fontId="3" fillId="4" borderId="0" xfId="0" applyFont="1" applyFill="1" applyAlignment="1" applyProtection="1">
      <alignment horizontal="left" indent="1"/>
      <protection hidden="1"/>
    </xf>
    <xf numFmtId="0" fontId="3" fillId="4" borderId="0" xfId="0" applyFont="1" applyFill="1" applyAlignment="1" applyProtection="1">
      <alignment horizontal="center"/>
      <protection hidden="1"/>
    </xf>
    <xf numFmtId="0" fontId="3" fillId="4" borderId="0" xfId="0" applyFont="1" applyFill="1" applyProtection="1">
      <protection hidden="1"/>
    </xf>
    <xf numFmtId="0" fontId="3" fillId="0" borderId="0" xfId="0" applyFont="1" applyAlignment="1" applyProtection="1">
      <alignment horizontal="left"/>
      <protection hidden="1"/>
    </xf>
    <xf numFmtId="0" fontId="3" fillId="0" borderId="0" xfId="0" applyFont="1" applyAlignment="1" applyProtection="1">
      <alignment horizontal="center" vertical="center"/>
      <protection hidden="1"/>
    </xf>
    <xf numFmtId="0" fontId="3" fillId="0" borderId="0" xfId="0" applyFont="1" applyAlignment="1" applyProtection="1">
      <alignment wrapText="1"/>
      <protection hidden="1"/>
    </xf>
    <xf numFmtId="0" fontId="3" fillId="4" borderId="0" xfId="0" applyFont="1" applyFill="1" applyAlignment="1" applyProtection="1">
      <alignment horizontal="left" vertical="center" indent="1"/>
      <protection hidden="1"/>
    </xf>
    <xf numFmtId="0" fontId="3" fillId="4" borderId="0" xfId="0" applyFont="1" applyFill="1" applyAlignment="1" applyProtection="1">
      <alignment horizontal="center" vertical="center"/>
      <protection hidden="1"/>
    </xf>
    <xf numFmtId="0" fontId="3" fillId="4" borderId="0" xfId="0" applyFont="1" applyFill="1" applyAlignment="1" applyProtection="1">
      <alignment wrapText="1"/>
      <protection hidden="1"/>
    </xf>
    <xf numFmtId="0" fontId="11" fillId="0" borderId="0" xfId="0" applyFont="1" applyAlignment="1" applyProtection="1">
      <alignment horizontal="left" indent="1"/>
      <protection hidden="1"/>
    </xf>
    <xf numFmtId="0" fontId="20" fillId="0" borderId="0" xfId="0" applyFont="1" applyProtection="1">
      <protection hidden="1"/>
    </xf>
    <xf numFmtId="0" fontId="21" fillId="0" borderId="0" xfId="0" applyFont="1" applyProtection="1">
      <protection hidden="1"/>
    </xf>
    <xf numFmtId="0" fontId="3" fillId="0" borderId="0" xfId="0" applyFont="1" applyAlignment="1" applyProtection="1">
      <alignment horizontal="left" vertical="center" wrapText="1" indent="1"/>
      <protection hidden="1"/>
    </xf>
    <xf numFmtId="0" fontId="5" fillId="0" borderId="0" xfId="0" applyFont="1" applyAlignment="1" applyProtection="1">
      <alignment horizontal="left" vertical="center" wrapText="1"/>
      <protection hidden="1"/>
    </xf>
    <xf numFmtId="0" fontId="5" fillId="4" borderId="0" xfId="0" applyFont="1" applyFill="1" applyAlignment="1" applyProtection="1">
      <alignment horizontal="center" vertical="center" wrapText="1"/>
      <protection hidden="1"/>
    </xf>
    <xf numFmtId="0" fontId="3" fillId="3" borderId="0" xfId="0" applyFont="1" applyFill="1" applyAlignment="1" applyProtection="1">
      <alignment horizontal="left" indent="1"/>
      <protection hidden="1"/>
    </xf>
    <xf numFmtId="0" fontId="3" fillId="3" borderId="0" xfId="0" applyFont="1" applyFill="1" applyAlignment="1" applyProtection="1">
      <alignment horizontal="center"/>
      <protection hidden="1"/>
    </xf>
    <xf numFmtId="0" fontId="3" fillId="3" borderId="0" xfId="0" applyFont="1" applyFill="1" applyProtection="1">
      <protection hidden="1"/>
    </xf>
    <xf numFmtId="0" fontId="3" fillId="0" borderId="0" xfId="0" applyFont="1" applyAlignment="1" applyProtection="1">
      <alignment horizontal="left" wrapText="1" indent="1"/>
      <protection hidden="1"/>
    </xf>
    <xf numFmtId="0" fontId="3" fillId="0" borderId="0" xfId="0" applyFont="1" applyAlignment="1" applyProtection="1">
      <alignment horizontal="left" wrapText="1"/>
      <protection hidden="1"/>
    </xf>
    <xf numFmtId="0" fontId="1" fillId="3" borderId="1" xfId="0" applyFont="1" applyFill="1" applyBorder="1" applyAlignment="1" applyProtection="1">
      <alignment horizontal="center" vertical="center"/>
      <protection locked="0"/>
    </xf>
    <xf numFmtId="3" fontId="1" fillId="4" borderId="1" xfId="0" applyNumberFormat="1" applyFont="1" applyFill="1" applyBorder="1" applyAlignment="1" applyProtection="1">
      <alignment horizontal="right"/>
      <protection locked="0"/>
    </xf>
    <xf numFmtId="0" fontId="15" fillId="0" borderId="14" xfId="0" applyFont="1" applyBorder="1" applyAlignment="1" applyProtection="1">
      <alignment horizontal="left" vertical="center"/>
      <protection hidden="1"/>
    </xf>
    <xf numFmtId="0" fontId="15" fillId="0" borderId="15" xfId="0" applyFont="1" applyBorder="1" applyAlignment="1" applyProtection="1">
      <alignment horizontal="left" vertical="center"/>
      <protection hidden="1"/>
    </xf>
    <xf numFmtId="0" fontId="15" fillId="0" borderId="16" xfId="0" applyFont="1" applyBorder="1" applyAlignment="1" applyProtection="1">
      <alignment horizontal="left" vertical="center"/>
      <protection hidden="1"/>
    </xf>
    <xf numFmtId="0" fontId="15" fillId="0" borderId="4" xfId="0" applyFont="1" applyBorder="1" applyAlignment="1" applyProtection="1">
      <alignment horizontal="left" vertical="center"/>
      <protection hidden="1"/>
    </xf>
    <xf numFmtId="0" fontId="15" fillId="0" borderId="5" xfId="0" applyFont="1" applyBorder="1" applyAlignment="1" applyProtection="1">
      <alignment horizontal="left" vertical="center"/>
      <protection hidden="1"/>
    </xf>
    <xf numFmtId="0" fontId="15" fillId="0" borderId="6" xfId="0" applyFont="1" applyBorder="1" applyAlignment="1" applyProtection="1">
      <alignment horizontal="left" vertical="center"/>
      <protection hidden="1"/>
    </xf>
    <xf numFmtId="0" fontId="5" fillId="0" borderId="0" xfId="0" applyFont="1" applyAlignment="1" applyProtection="1">
      <protection hidden="1"/>
    </xf>
    <xf numFmtId="0" fontId="3" fillId="0" borderId="0" xfId="0" applyFont="1" applyAlignment="1" applyProtection="1">
      <alignment horizontal="left" indent="1"/>
      <protection hidden="1"/>
    </xf>
    <xf numFmtId="0" fontId="15" fillId="0" borderId="14" xfId="0" applyFont="1" applyBorder="1" applyAlignment="1" applyProtection="1">
      <alignment horizontal="left" vertical="center" wrapText="1"/>
      <protection hidden="1"/>
    </xf>
    <xf numFmtId="0" fontId="9" fillId="7" borderId="7" xfId="0" applyFont="1" applyFill="1" applyBorder="1" applyAlignment="1" applyProtection="1">
      <alignment horizontal="center" vertical="center"/>
      <protection hidden="1"/>
    </xf>
    <xf numFmtId="0" fontId="9" fillId="7" borderId="10" xfId="0" applyFont="1" applyFill="1" applyBorder="1" applyAlignment="1" applyProtection="1">
      <alignment horizontal="center" vertical="center"/>
      <protection hidden="1"/>
    </xf>
    <xf numFmtId="0" fontId="9" fillId="7" borderId="8" xfId="0" applyFont="1" applyFill="1" applyBorder="1" applyAlignment="1" applyProtection="1">
      <alignment horizontal="center" vertical="center"/>
      <protection hidden="1"/>
    </xf>
    <xf numFmtId="0" fontId="10" fillId="6" borderId="7" xfId="0" applyFont="1" applyFill="1" applyBorder="1" applyAlignment="1" applyProtection="1">
      <alignment horizontal="center" vertical="top"/>
      <protection hidden="1"/>
    </xf>
    <xf numFmtId="0" fontId="10" fillId="6" borderId="8" xfId="0" applyFont="1" applyFill="1" applyBorder="1" applyAlignment="1" applyProtection="1">
      <alignment horizontal="center" vertical="top"/>
      <protection hidden="1"/>
    </xf>
    <xf numFmtId="0" fontId="12" fillId="6" borderId="12" xfId="0" applyFont="1" applyFill="1" applyBorder="1" applyAlignment="1" applyProtection="1">
      <alignment horizontal="left" vertical="center" wrapText="1"/>
      <protection hidden="1"/>
    </xf>
    <xf numFmtId="0" fontId="0" fillId="0" borderId="12" xfId="0" applyBorder="1" applyAlignment="1" applyProtection="1">
      <alignment horizontal="left" vertical="center" wrapText="1"/>
      <protection hidden="1"/>
    </xf>
    <xf numFmtId="0" fontId="12" fillId="6" borderId="12" xfId="0" applyFont="1" applyFill="1" applyBorder="1" applyAlignment="1" applyProtection="1">
      <alignment horizontal="center" vertical="center" wrapText="1"/>
      <protection hidden="1"/>
    </xf>
    <xf numFmtId="0" fontId="22" fillId="0" borderId="12" xfId="0" applyFont="1" applyBorder="1" applyAlignment="1" applyProtection="1">
      <alignment horizontal="center" vertical="center" wrapText="1"/>
      <protection hidden="1"/>
    </xf>
    <xf numFmtId="0" fontId="12" fillId="6" borderId="12" xfId="0" applyFont="1" applyFill="1" applyBorder="1" applyAlignment="1" applyProtection="1">
      <alignment horizontal="left" vertical="top" wrapText="1"/>
      <protection hidden="1"/>
    </xf>
    <xf numFmtId="0" fontId="0" fillId="0" borderId="12" xfId="0" applyBorder="1" applyAlignment="1" applyProtection="1">
      <alignment horizontal="left" vertical="top" wrapText="1"/>
      <protection hidden="1"/>
    </xf>
    <xf numFmtId="0" fontId="17" fillId="6" borderId="11" xfId="0" applyFont="1" applyFill="1" applyBorder="1" applyAlignment="1" applyProtection="1">
      <alignment horizontal="center" vertical="center"/>
      <protection hidden="1"/>
    </xf>
    <xf numFmtId="0" fontId="17" fillId="6" borderId="12" xfId="0" applyFont="1" applyFill="1" applyBorder="1" applyAlignment="1" applyProtection="1">
      <alignment horizontal="center" vertical="center"/>
      <protection hidden="1"/>
    </xf>
    <xf numFmtId="0" fontId="10" fillId="6" borderId="7" xfId="0" applyFont="1" applyFill="1" applyBorder="1" applyAlignment="1" applyProtection="1">
      <alignment horizontal="center" vertical="center"/>
      <protection hidden="1"/>
    </xf>
    <xf numFmtId="0" fontId="10" fillId="6" borderId="8" xfId="0" applyFont="1" applyFill="1" applyBorder="1" applyAlignment="1" applyProtection="1">
      <alignment horizontal="center" vertical="center"/>
      <protection hidden="1"/>
    </xf>
  </cellXfs>
  <cellStyles count="3">
    <cellStyle name="Currency" xfId="1" builtinId="4"/>
    <cellStyle name="Normal" xfId="0" builtinId="0"/>
    <cellStyle name="Percent" xfId="2" builtinId="5"/>
  </cellStyles>
  <dxfs count="6">
    <dxf>
      <font>
        <color rgb="FF9C0006"/>
      </font>
      <fill>
        <patternFill>
          <bgColor rgb="FFFFC7CE"/>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s>
  <tableStyles count="0" defaultTableStyle="TableStyleMedium2" defaultPivotStyle="PivotStyleLight16"/>
  <colors>
    <mruColors>
      <color rgb="FF99FF99"/>
      <color rgb="FF66FF66"/>
      <color rgb="FFFF3300"/>
      <color rgb="FFE5E5E5"/>
      <color rgb="FFE2E2E2"/>
      <color rgb="FFE3E3E3"/>
      <color rgb="FFE4E4E4"/>
      <color rgb="FFDDDDDD"/>
      <color rgb="FFEAEAEA"/>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cid:image001.jpg@01D87A67.6C6D1D20" TargetMode="External"/><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60</xdr:row>
      <xdr:rowOff>0</xdr:rowOff>
    </xdr:from>
    <xdr:to>
      <xdr:col>1</xdr:col>
      <xdr:colOff>4561905</xdr:colOff>
      <xdr:row>79</xdr:row>
      <xdr:rowOff>106232</xdr:rowOff>
    </xdr:to>
    <xdr:pic>
      <xdr:nvPicPr>
        <xdr:cNvPr id="2" name="Picture 1">
          <a:extLst>
            <a:ext uri="{FF2B5EF4-FFF2-40B4-BE49-F238E27FC236}">
              <a16:creationId xmlns:a16="http://schemas.microsoft.com/office/drawing/2014/main" id="{ABE20514-F371-45B8-D21D-BF9BB92DBF90}"/>
            </a:ext>
          </a:extLst>
        </xdr:cNvPr>
        <xdr:cNvPicPr>
          <a:picLocks noChangeAspect="1"/>
        </xdr:cNvPicPr>
      </xdr:nvPicPr>
      <xdr:blipFill>
        <a:blip xmlns:r="http://schemas.openxmlformats.org/officeDocument/2006/relationships" r:embed="rId1"/>
        <a:stretch>
          <a:fillRect/>
        </a:stretch>
      </xdr:blipFill>
      <xdr:spPr>
        <a:xfrm>
          <a:off x="114300" y="8580120"/>
          <a:ext cx="4561905" cy="3580952"/>
        </a:xfrm>
        <a:prstGeom prst="rect">
          <a:avLst/>
        </a:prstGeom>
      </xdr:spPr>
    </xdr:pic>
    <xdr:clientData/>
  </xdr:twoCellAnchor>
  <xdr:twoCellAnchor editAs="oneCell">
    <xdr:from>
      <xdr:col>3</xdr:col>
      <xdr:colOff>0</xdr:colOff>
      <xdr:row>60</xdr:row>
      <xdr:rowOff>0</xdr:rowOff>
    </xdr:from>
    <xdr:to>
      <xdr:col>3</xdr:col>
      <xdr:colOff>6438095</xdr:colOff>
      <xdr:row>79</xdr:row>
      <xdr:rowOff>134804</xdr:rowOff>
    </xdr:to>
    <xdr:pic>
      <xdr:nvPicPr>
        <xdr:cNvPr id="3" name="Picture 2">
          <a:extLst>
            <a:ext uri="{FF2B5EF4-FFF2-40B4-BE49-F238E27FC236}">
              <a16:creationId xmlns:a16="http://schemas.microsoft.com/office/drawing/2014/main" id="{3CF78A35-1F7E-40D8-9DF1-5F55D2B6EA50}"/>
            </a:ext>
          </a:extLst>
        </xdr:cNvPr>
        <xdr:cNvPicPr>
          <a:picLocks noChangeAspect="1"/>
        </xdr:cNvPicPr>
      </xdr:nvPicPr>
      <xdr:blipFill>
        <a:blip xmlns:r="http://schemas.openxmlformats.org/officeDocument/2006/relationships" r:embed="rId2"/>
        <a:stretch>
          <a:fillRect/>
        </a:stretch>
      </xdr:blipFill>
      <xdr:spPr>
        <a:xfrm>
          <a:off x="6598920" y="8724900"/>
          <a:ext cx="6438095" cy="3609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1</xdr:col>
      <xdr:colOff>4561905</xdr:colOff>
      <xdr:row>75</xdr:row>
      <xdr:rowOff>106232</xdr:rowOff>
    </xdr:to>
    <xdr:pic>
      <xdr:nvPicPr>
        <xdr:cNvPr id="2" name="Picture 1">
          <a:extLst>
            <a:ext uri="{FF2B5EF4-FFF2-40B4-BE49-F238E27FC236}">
              <a16:creationId xmlns:a16="http://schemas.microsoft.com/office/drawing/2014/main" id="{936AE0DD-D140-43F8-948E-BD14D9652349}"/>
            </a:ext>
          </a:extLst>
        </xdr:cNvPr>
        <xdr:cNvPicPr>
          <a:picLocks noChangeAspect="1"/>
        </xdr:cNvPicPr>
      </xdr:nvPicPr>
      <xdr:blipFill>
        <a:blip xmlns:r="http://schemas.openxmlformats.org/officeDocument/2006/relationships" r:embed="rId1"/>
        <a:stretch>
          <a:fillRect/>
        </a:stretch>
      </xdr:blipFill>
      <xdr:spPr>
        <a:xfrm>
          <a:off x="114300" y="8724900"/>
          <a:ext cx="4561905" cy="3580952"/>
        </a:xfrm>
        <a:prstGeom prst="rect">
          <a:avLst/>
        </a:prstGeom>
      </xdr:spPr>
    </xdr:pic>
    <xdr:clientData/>
  </xdr:twoCellAnchor>
  <xdr:twoCellAnchor editAs="oneCell">
    <xdr:from>
      <xdr:col>3</xdr:col>
      <xdr:colOff>0</xdr:colOff>
      <xdr:row>56</xdr:row>
      <xdr:rowOff>0</xdr:rowOff>
    </xdr:from>
    <xdr:to>
      <xdr:col>3</xdr:col>
      <xdr:colOff>6438095</xdr:colOff>
      <xdr:row>75</xdr:row>
      <xdr:rowOff>134804</xdr:rowOff>
    </xdr:to>
    <xdr:pic>
      <xdr:nvPicPr>
        <xdr:cNvPr id="3" name="Picture 2">
          <a:extLst>
            <a:ext uri="{FF2B5EF4-FFF2-40B4-BE49-F238E27FC236}">
              <a16:creationId xmlns:a16="http://schemas.microsoft.com/office/drawing/2014/main" id="{2C75AAB6-E236-4956-B30C-9444E1DE14DF}"/>
            </a:ext>
          </a:extLst>
        </xdr:cNvPr>
        <xdr:cNvPicPr>
          <a:picLocks noChangeAspect="1"/>
        </xdr:cNvPicPr>
      </xdr:nvPicPr>
      <xdr:blipFill>
        <a:blip xmlns:r="http://schemas.openxmlformats.org/officeDocument/2006/relationships" r:embed="rId2"/>
        <a:stretch>
          <a:fillRect/>
        </a:stretch>
      </xdr:blipFill>
      <xdr:spPr>
        <a:xfrm>
          <a:off x="6598920" y="8724900"/>
          <a:ext cx="6438095" cy="3609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803230</xdr:colOff>
      <xdr:row>36</xdr:row>
      <xdr:rowOff>96017</xdr:rowOff>
    </xdr:from>
    <xdr:to>
      <xdr:col>8</xdr:col>
      <xdr:colOff>491796</xdr:colOff>
      <xdr:row>41</xdr:row>
      <xdr:rowOff>110584</xdr:rowOff>
    </xdr:to>
    <xdr:pic>
      <xdr:nvPicPr>
        <xdr:cNvPr id="3" name="Picture 2">
          <a:extLst>
            <a:ext uri="{FF2B5EF4-FFF2-40B4-BE49-F238E27FC236}">
              <a16:creationId xmlns:a16="http://schemas.microsoft.com/office/drawing/2014/main" id="{68F07363-49CA-4295-9E3F-728FE25EBD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5880" y="5772917"/>
          <a:ext cx="2527016" cy="853402"/>
        </a:xfrm>
        <a:prstGeom prst="rect">
          <a:avLst/>
        </a:prstGeom>
      </xdr:spPr>
    </xdr:pic>
    <xdr:clientData/>
  </xdr:twoCellAnchor>
  <xdr:twoCellAnchor>
    <xdr:from>
      <xdr:col>7</xdr:col>
      <xdr:colOff>600325</xdr:colOff>
      <xdr:row>43</xdr:row>
      <xdr:rowOff>82780</xdr:rowOff>
    </xdr:from>
    <xdr:to>
      <xdr:col>8</xdr:col>
      <xdr:colOff>765887</xdr:colOff>
      <xdr:row>48</xdr:row>
      <xdr:rowOff>99627</xdr:rowOff>
    </xdr:to>
    <xdr:pic>
      <xdr:nvPicPr>
        <xdr:cNvPr id="4" name="Picture 1">
          <a:extLst>
            <a:ext uri="{FF2B5EF4-FFF2-40B4-BE49-F238E27FC236}">
              <a16:creationId xmlns:a16="http://schemas.microsoft.com/office/drawing/2014/main" id="{1A6BC186-64A6-4547-9634-40BA1FBD53AB}"/>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14185477" y="6904219"/>
          <a:ext cx="2186016" cy="930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BusinessData\BusIntel_CC\10_TeamMgmt\90_Members\MichaelH\Dem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6670A-5AA6-4064-88DA-3D88F5D7BFF9}">
  <sheetPr codeName="Sheet1"/>
  <dimension ref="B1:D68"/>
  <sheetViews>
    <sheetView showGridLines="0" workbookViewId="0">
      <selection activeCell="B50" sqref="A1:XFD1048576"/>
    </sheetView>
  </sheetViews>
  <sheetFormatPr defaultColWidth="8.81640625" defaultRowHeight="14.5" x14ac:dyDescent="0.35"/>
  <cols>
    <col min="1" max="1" width="1.7265625" style="12" customWidth="1"/>
    <col min="2" max="2" width="81.7265625" style="12" customWidth="1"/>
    <col min="3" max="3" width="12.81640625" style="12" bestFit="1" customWidth="1"/>
    <col min="4" max="4" width="95.81640625" style="12" customWidth="1"/>
    <col min="5" max="5" width="1.7265625" style="12" customWidth="1"/>
    <col min="6" max="16384" width="8.81640625" style="12"/>
  </cols>
  <sheetData>
    <row r="1" spans="2:4" ht="9" customHeight="1" x14ac:dyDescent="0.35"/>
    <row r="2" spans="2:4" x14ac:dyDescent="0.35">
      <c r="B2" s="96" t="s">
        <v>0</v>
      </c>
      <c r="C2" s="97"/>
      <c r="D2" s="98"/>
    </row>
    <row r="3" spans="2:4" x14ac:dyDescent="0.35">
      <c r="B3" s="99"/>
      <c r="C3" s="100"/>
      <c r="D3" s="101"/>
    </row>
    <row r="4" spans="2:4" ht="9" customHeight="1" x14ac:dyDescent="0.35"/>
    <row r="5" spans="2:4" x14ac:dyDescent="0.35">
      <c r="B5" s="65" t="s">
        <v>1</v>
      </c>
    </row>
    <row r="6" spans="2:4" ht="6" customHeight="1" x14ac:dyDescent="0.35"/>
    <row r="7" spans="2:4" x14ac:dyDescent="0.35">
      <c r="B7" s="66" t="s">
        <v>2</v>
      </c>
    </row>
    <row r="8" spans="2:4" x14ac:dyDescent="0.35">
      <c r="B8" s="66" t="s">
        <v>3</v>
      </c>
    </row>
    <row r="9" spans="2:4" x14ac:dyDescent="0.35">
      <c r="B9" s="66" t="s">
        <v>4</v>
      </c>
    </row>
    <row r="10" spans="2:4" x14ac:dyDescent="0.35">
      <c r="B10" s="66" t="s">
        <v>5</v>
      </c>
    </row>
    <row r="11" spans="2:4" x14ac:dyDescent="0.35">
      <c r="B11" s="66" t="s">
        <v>6</v>
      </c>
    </row>
    <row r="13" spans="2:4" x14ac:dyDescent="0.35">
      <c r="B13" s="67" t="s">
        <v>7</v>
      </c>
    </row>
    <row r="14" spans="2:4" x14ac:dyDescent="0.35">
      <c r="B14" s="68" t="s">
        <v>8</v>
      </c>
    </row>
    <row r="15" spans="2:4" ht="9" customHeight="1" x14ac:dyDescent="0.35"/>
    <row r="16" spans="2:4" ht="28.15" customHeight="1" x14ac:dyDescent="0.35">
      <c r="B16" s="69" t="s">
        <v>9</v>
      </c>
      <c r="C16" s="69" t="s">
        <v>10</v>
      </c>
      <c r="D16" s="69" t="s">
        <v>11</v>
      </c>
    </row>
    <row r="17" spans="2:4" ht="9" customHeight="1" x14ac:dyDescent="0.35"/>
    <row r="18" spans="2:4" x14ac:dyDescent="0.35">
      <c r="B18" s="70" t="s">
        <v>12</v>
      </c>
      <c r="C18" s="71"/>
    </row>
    <row r="19" spans="2:4" x14ac:dyDescent="0.35">
      <c r="B19" s="72" t="s">
        <v>13</v>
      </c>
      <c r="C19" s="73" t="s">
        <v>82</v>
      </c>
      <c r="D19" s="12" t="s">
        <v>14</v>
      </c>
    </row>
    <row r="20" spans="2:4" x14ac:dyDescent="0.35">
      <c r="B20" s="72" t="s">
        <v>15</v>
      </c>
      <c r="C20" s="73" t="s">
        <v>83</v>
      </c>
      <c r="D20" s="12" t="s">
        <v>14</v>
      </c>
    </row>
    <row r="21" spans="2:4" x14ac:dyDescent="0.35">
      <c r="B21" s="72"/>
      <c r="C21" s="73"/>
    </row>
    <row r="22" spans="2:4" x14ac:dyDescent="0.35">
      <c r="B22" s="74" t="s">
        <v>103</v>
      </c>
      <c r="C22" s="75" t="s">
        <v>95</v>
      </c>
      <c r="D22" s="76" t="s">
        <v>104</v>
      </c>
    </row>
    <row r="23" spans="2:4" x14ac:dyDescent="0.35">
      <c r="B23" s="74" t="s">
        <v>102</v>
      </c>
      <c r="C23" s="75" t="s">
        <v>96</v>
      </c>
      <c r="D23" s="76" t="s">
        <v>104</v>
      </c>
    </row>
    <row r="24" spans="2:4" x14ac:dyDescent="0.35">
      <c r="B24" s="74"/>
      <c r="C24" s="75"/>
      <c r="D24" s="76"/>
    </row>
    <row r="25" spans="2:4" x14ac:dyDescent="0.35">
      <c r="B25" s="74" t="s">
        <v>105</v>
      </c>
      <c r="C25" s="75" t="s">
        <v>86</v>
      </c>
      <c r="D25" s="76"/>
    </row>
    <row r="26" spans="2:4" x14ac:dyDescent="0.35">
      <c r="B26" s="77"/>
      <c r="C26" s="73"/>
    </row>
    <row r="27" spans="2:4" x14ac:dyDescent="0.35">
      <c r="B27" s="70" t="s">
        <v>16</v>
      </c>
      <c r="C27" s="73"/>
    </row>
    <row r="28" spans="2:4" x14ac:dyDescent="0.35">
      <c r="B28" s="72" t="s">
        <v>17</v>
      </c>
      <c r="C28" s="73" t="s">
        <v>20</v>
      </c>
    </row>
    <row r="29" spans="2:4" x14ac:dyDescent="0.35">
      <c r="B29" s="72" t="s">
        <v>18</v>
      </c>
      <c r="C29" s="73" t="s">
        <v>22</v>
      </c>
    </row>
    <row r="30" spans="2:4" x14ac:dyDescent="0.35">
      <c r="B30" s="72" t="s">
        <v>19</v>
      </c>
      <c r="C30" s="73" t="s">
        <v>25</v>
      </c>
    </row>
    <row r="31" spans="2:4" x14ac:dyDescent="0.35">
      <c r="B31" s="72" t="s">
        <v>21</v>
      </c>
      <c r="C31" s="73" t="s">
        <v>27</v>
      </c>
      <c r="D31" s="12" t="s">
        <v>23</v>
      </c>
    </row>
    <row r="32" spans="2:4" x14ac:dyDescent="0.35">
      <c r="B32" s="72"/>
      <c r="C32" s="73"/>
    </row>
    <row r="33" spans="2:4" x14ac:dyDescent="0.35">
      <c r="B33" s="72"/>
      <c r="C33" s="73"/>
    </row>
    <row r="34" spans="2:4" x14ac:dyDescent="0.35">
      <c r="B34" s="72" t="s">
        <v>24</v>
      </c>
      <c r="C34" s="73" t="s">
        <v>29</v>
      </c>
      <c r="D34" s="12" t="s">
        <v>23</v>
      </c>
    </row>
    <row r="35" spans="2:4" x14ac:dyDescent="0.35">
      <c r="B35" s="72" t="s">
        <v>26</v>
      </c>
      <c r="C35" s="73" t="s">
        <v>84</v>
      </c>
    </row>
    <row r="36" spans="2:4" x14ac:dyDescent="0.35">
      <c r="B36" s="72" t="s">
        <v>28</v>
      </c>
      <c r="C36" s="73" t="s">
        <v>85</v>
      </c>
    </row>
    <row r="37" spans="2:4" x14ac:dyDescent="0.35">
      <c r="B37" s="77"/>
    </row>
    <row r="38" spans="2:4" x14ac:dyDescent="0.35">
      <c r="B38" s="70" t="s">
        <v>12</v>
      </c>
    </row>
    <row r="39" spans="2:4" x14ac:dyDescent="0.35">
      <c r="B39" s="70"/>
    </row>
    <row r="40" spans="2:4" x14ac:dyDescent="0.35">
      <c r="B40" s="70"/>
      <c r="C40" s="78" t="s">
        <v>95</v>
      </c>
    </row>
    <row r="41" spans="2:4" x14ac:dyDescent="0.35">
      <c r="B41" s="70"/>
      <c r="C41" s="78" t="s">
        <v>96</v>
      </c>
    </row>
    <row r="42" spans="2:4" x14ac:dyDescent="0.35">
      <c r="B42" s="72" t="s">
        <v>30</v>
      </c>
      <c r="C42" s="73" t="s">
        <v>97</v>
      </c>
      <c r="D42" s="12" t="s">
        <v>31</v>
      </c>
    </row>
    <row r="43" spans="2:4" x14ac:dyDescent="0.35">
      <c r="B43" s="72" t="s">
        <v>32</v>
      </c>
      <c r="C43" s="73" t="s">
        <v>98</v>
      </c>
      <c r="D43" s="12" t="s">
        <v>33</v>
      </c>
    </row>
    <row r="44" spans="2:4" x14ac:dyDescent="0.35">
      <c r="B44" s="72" t="s">
        <v>34</v>
      </c>
      <c r="C44" s="73" t="s">
        <v>88</v>
      </c>
      <c r="D44" s="12" t="s">
        <v>36</v>
      </c>
    </row>
    <row r="45" spans="2:4" x14ac:dyDescent="0.35">
      <c r="B45" s="77"/>
    </row>
    <row r="46" spans="2:4" x14ac:dyDescent="0.35">
      <c r="B46" s="77" t="s">
        <v>37</v>
      </c>
      <c r="C46" s="73" t="s">
        <v>88</v>
      </c>
      <c r="D46" s="12" t="s">
        <v>23</v>
      </c>
    </row>
    <row r="47" spans="2:4" x14ac:dyDescent="0.35">
      <c r="B47" s="72" t="s">
        <v>38</v>
      </c>
      <c r="C47" s="73" t="s">
        <v>41</v>
      </c>
      <c r="D47" s="12" t="s">
        <v>39</v>
      </c>
    </row>
    <row r="48" spans="2:4" ht="29" x14ac:dyDescent="0.35">
      <c r="B48" s="66" t="s">
        <v>40</v>
      </c>
      <c r="C48" s="78" t="s">
        <v>89</v>
      </c>
      <c r="D48" s="79" t="s">
        <v>42</v>
      </c>
    </row>
    <row r="49" spans="2:4" x14ac:dyDescent="0.35">
      <c r="B49" s="66"/>
      <c r="C49" s="78"/>
      <c r="D49" s="79"/>
    </row>
    <row r="50" spans="2:4" x14ac:dyDescent="0.35">
      <c r="B50" s="80" t="s">
        <v>108</v>
      </c>
      <c r="C50" s="81" t="s">
        <v>106</v>
      </c>
      <c r="D50" s="82" t="s">
        <v>110</v>
      </c>
    </row>
    <row r="51" spans="2:4" x14ac:dyDescent="0.35">
      <c r="B51" s="80" t="s">
        <v>109</v>
      </c>
      <c r="C51" s="81" t="s">
        <v>107</v>
      </c>
      <c r="D51" s="76" t="s">
        <v>110</v>
      </c>
    </row>
    <row r="52" spans="2:4" x14ac:dyDescent="0.35">
      <c r="C52" s="78"/>
    </row>
    <row r="53" spans="2:4" x14ac:dyDescent="0.35">
      <c r="B53" s="68" t="s">
        <v>43</v>
      </c>
    </row>
    <row r="54" spans="2:4" x14ac:dyDescent="0.35">
      <c r="B54" s="83" t="s">
        <v>111</v>
      </c>
    </row>
    <row r="56" spans="2:4" x14ac:dyDescent="0.35">
      <c r="B56" s="102" t="s">
        <v>44</v>
      </c>
      <c r="C56" s="102"/>
      <c r="D56" s="102"/>
    </row>
    <row r="57" spans="2:4" ht="15" customHeight="1" x14ac:dyDescent="0.35">
      <c r="B57" s="103" t="s">
        <v>45</v>
      </c>
      <c r="C57" s="103"/>
      <c r="D57" s="103"/>
    </row>
    <row r="59" spans="2:4" ht="26" x14ac:dyDescent="0.6">
      <c r="B59" s="84" t="s">
        <v>93</v>
      </c>
      <c r="D59" s="85" t="s">
        <v>94</v>
      </c>
    </row>
    <row r="68" s="12" customFormat="1" ht="14.5" customHeight="1" x14ac:dyDescent="0.35"/>
  </sheetData>
  <sheetProtection algorithmName="SHA-512" hashValue="p2wLVfvYOlNRwDfWHcRaEEp0QC2WWj+Y4Aab9KvDa8M03BHS24I7XN8Libo3BrGsX0CSdYW1TANJp4jVq+A2iQ==" saltValue="kJT/hloy8bHXGcQEDSTaPQ==" spinCount="100000" sheet="1" formatCells="0" formatColumns="0" formatRows="0" insertColumns="0" insertRows="0" insertHyperlinks="0" deleteColumns="0" deleteRows="0" sort="0" autoFilter="0" pivotTables="0"/>
  <mergeCells count="3">
    <mergeCell ref="B2:D3"/>
    <mergeCell ref="B56:D56"/>
    <mergeCell ref="B57:D57"/>
  </mergeCells>
  <pageMargins left="0.7" right="0.7" top="0.75" bottom="0.75" header="0.3" footer="0.3"/>
  <pageSetup paperSize="9" orientation="portrait" r:id="rId1"/>
  <headerFooter>
    <oddFooter>&amp;R&amp;1#&amp;"Calibri"&amp;10&amp;K0000FFClassification :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16305-96CF-4794-9E10-D2D8B7B90D9B}">
  <sheetPr codeName="Sheet2"/>
  <dimension ref="B1:D64"/>
  <sheetViews>
    <sheetView workbookViewId="0">
      <selection activeCell="D20" sqref="D20"/>
    </sheetView>
  </sheetViews>
  <sheetFormatPr defaultColWidth="8.81640625" defaultRowHeight="14.5" x14ac:dyDescent="0.35"/>
  <cols>
    <col min="1" max="1" width="1.7265625" style="12" customWidth="1"/>
    <col min="2" max="2" width="81.7265625" style="12" customWidth="1"/>
    <col min="3" max="3" width="12.81640625" style="12" bestFit="1" customWidth="1"/>
    <col min="4" max="4" width="95.81640625" style="12" customWidth="1"/>
    <col min="5" max="5" width="1.7265625" style="12" customWidth="1"/>
    <col min="6" max="16384" width="8.81640625" style="12"/>
  </cols>
  <sheetData>
    <row r="1" spans="2:4" ht="9" customHeight="1" x14ac:dyDescent="0.35"/>
    <row r="2" spans="2:4" x14ac:dyDescent="0.35">
      <c r="B2" s="104" t="s">
        <v>46</v>
      </c>
      <c r="C2" s="97"/>
      <c r="D2" s="98"/>
    </row>
    <row r="3" spans="2:4" x14ac:dyDescent="0.35">
      <c r="B3" s="99"/>
      <c r="C3" s="100"/>
      <c r="D3" s="101"/>
    </row>
    <row r="4" spans="2:4" ht="9" customHeight="1" x14ac:dyDescent="0.35"/>
    <row r="5" spans="2:4" x14ac:dyDescent="0.35">
      <c r="B5" s="65" t="s">
        <v>47</v>
      </c>
    </row>
    <row r="6" spans="2:4" ht="6" customHeight="1" x14ac:dyDescent="0.35"/>
    <row r="7" spans="2:4" x14ac:dyDescent="0.35">
      <c r="B7" s="66" t="s">
        <v>48</v>
      </c>
    </row>
    <row r="8" spans="2:4" x14ac:dyDescent="0.35">
      <c r="B8" s="66" t="s">
        <v>49</v>
      </c>
    </row>
    <row r="9" spans="2:4" x14ac:dyDescent="0.35">
      <c r="B9" s="66" t="s">
        <v>50</v>
      </c>
    </row>
    <row r="10" spans="2:4" x14ac:dyDescent="0.35">
      <c r="B10" s="66" t="s">
        <v>51</v>
      </c>
    </row>
    <row r="11" spans="2:4" ht="29" x14ac:dyDescent="0.35">
      <c r="B11" s="86" t="s">
        <v>52</v>
      </c>
    </row>
    <row r="13" spans="2:4" ht="72.5" x14ac:dyDescent="0.35">
      <c r="B13" s="87" t="s">
        <v>53</v>
      </c>
    </row>
    <row r="14" spans="2:4" x14ac:dyDescent="0.35">
      <c r="B14" s="68"/>
    </row>
    <row r="15" spans="2:4" ht="9" customHeight="1" x14ac:dyDescent="0.35"/>
    <row r="16" spans="2:4" ht="28.15" customHeight="1" x14ac:dyDescent="0.35">
      <c r="B16" s="88" t="s">
        <v>54</v>
      </c>
      <c r="C16" s="69" t="s">
        <v>55</v>
      </c>
      <c r="D16" s="69" t="s">
        <v>56</v>
      </c>
    </row>
    <row r="17" spans="2:4" ht="9" customHeight="1" x14ac:dyDescent="0.35"/>
    <row r="18" spans="2:4" x14ac:dyDescent="0.35">
      <c r="B18" s="70" t="s">
        <v>48</v>
      </c>
      <c r="C18" s="71"/>
    </row>
    <row r="19" spans="2:4" x14ac:dyDescent="0.35">
      <c r="B19" s="72" t="s">
        <v>57</v>
      </c>
      <c r="C19" s="73" t="s">
        <v>82</v>
      </c>
      <c r="D19" s="12" t="s">
        <v>58</v>
      </c>
    </row>
    <row r="20" spans="2:4" x14ac:dyDescent="0.35">
      <c r="B20" s="72" t="s">
        <v>59</v>
      </c>
      <c r="C20" s="73" t="s">
        <v>83</v>
      </c>
      <c r="D20" s="12" t="s">
        <v>58</v>
      </c>
    </row>
    <row r="21" spans="2:4" x14ac:dyDescent="0.35">
      <c r="B21" s="77"/>
      <c r="C21" s="73"/>
    </row>
    <row r="22" spans="2:4" x14ac:dyDescent="0.35">
      <c r="B22" s="74" t="s">
        <v>103</v>
      </c>
      <c r="C22" s="75" t="s">
        <v>95</v>
      </c>
      <c r="D22" s="76" t="s">
        <v>104</v>
      </c>
    </row>
    <row r="23" spans="2:4" x14ac:dyDescent="0.35">
      <c r="B23" s="74" t="s">
        <v>102</v>
      </c>
      <c r="C23" s="75" t="s">
        <v>96</v>
      </c>
      <c r="D23" s="76" t="s">
        <v>104</v>
      </c>
    </row>
    <row r="24" spans="2:4" x14ac:dyDescent="0.35">
      <c r="B24" s="74"/>
      <c r="C24" s="75"/>
      <c r="D24" s="76"/>
    </row>
    <row r="25" spans="2:4" x14ac:dyDescent="0.35">
      <c r="B25" s="74" t="s">
        <v>105</v>
      </c>
      <c r="C25" s="75" t="s">
        <v>86</v>
      </c>
      <c r="D25" s="76"/>
    </row>
    <row r="26" spans="2:4" s="91" customFormat="1" x14ac:dyDescent="0.35">
      <c r="B26" s="89"/>
      <c r="C26" s="90"/>
    </row>
    <row r="27" spans="2:4" x14ac:dyDescent="0.35">
      <c r="B27" s="70" t="s">
        <v>16</v>
      </c>
      <c r="C27" s="73"/>
    </row>
    <row r="28" spans="2:4" x14ac:dyDescent="0.35">
      <c r="B28" s="72" t="s">
        <v>60</v>
      </c>
      <c r="C28" s="73" t="s">
        <v>20</v>
      </c>
    </row>
    <row r="29" spans="2:4" ht="43.5" x14ac:dyDescent="0.35">
      <c r="B29" s="92" t="s">
        <v>61</v>
      </c>
      <c r="C29" s="73" t="s">
        <v>22</v>
      </c>
    </row>
    <row r="30" spans="2:4" x14ac:dyDescent="0.35">
      <c r="B30" s="72" t="s">
        <v>62</v>
      </c>
      <c r="C30" s="73" t="s">
        <v>25</v>
      </c>
    </row>
    <row r="31" spans="2:4" x14ac:dyDescent="0.35">
      <c r="B31" s="72" t="s">
        <v>63</v>
      </c>
      <c r="C31" s="73" t="s">
        <v>27</v>
      </c>
      <c r="D31" s="12" t="s">
        <v>64</v>
      </c>
    </row>
    <row r="32" spans="2:4" x14ac:dyDescent="0.35">
      <c r="B32" s="72" t="s">
        <v>65</v>
      </c>
      <c r="C32" s="73" t="s">
        <v>29</v>
      </c>
      <c r="D32" s="12" t="s">
        <v>64</v>
      </c>
    </row>
    <row r="33" spans="2:4" x14ac:dyDescent="0.35">
      <c r="B33" s="72" t="s">
        <v>66</v>
      </c>
      <c r="C33" s="73" t="s">
        <v>84</v>
      </c>
    </row>
    <row r="34" spans="2:4" x14ac:dyDescent="0.35">
      <c r="B34" s="72" t="s">
        <v>28</v>
      </c>
      <c r="C34" s="73" t="s">
        <v>85</v>
      </c>
    </row>
    <row r="35" spans="2:4" x14ac:dyDescent="0.35">
      <c r="B35" s="77"/>
    </row>
    <row r="36" spans="2:4" x14ac:dyDescent="0.35">
      <c r="B36" s="70" t="s">
        <v>12</v>
      </c>
    </row>
    <row r="37" spans="2:4" ht="29" x14ac:dyDescent="0.35">
      <c r="B37" s="92" t="s">
        <v>67</v>
      </c>
      <c r="C37" s="73" t="s">
        <v>35</v>
      </c>
      <c r="D37" s="12" t="s">
        <v>68</v>
      </c>
    </row>
    <row r="38" spans="2:4" ht="29" x14ac:dyDescent="0.35">
      <c r="B38" s="72" t="s">
        <v>69</v>
      </c>
      <c r="C38" s="73" t="s">
        <v>86</v>
      </c>
      <c r="D38" s="79" t="s">
        <v>70</v>
      </c>
    </row>
    <row r="39" spans="2:4" x14ac:dyDescent="0.35">
      <c r="B39" s="72" t="s">
        <v>71</v>
      </c>
      <c r="C39" s="73" t="s">
        <v>87</v>
      </c>
      <c r="D39" s="12" t="s">
        <v>72</v>
      </c>
    </row>
    <row r="40" spans="2:4" x14ac:dyDescent="0.35">
      <c r="B40" s="77"/>
    </row>
    <row r="41" spans="2:4" x14ac:dyDescent="0.35">
      <c r="B41" s="77" t="s">
        <v>73</v>
      </c>
      <c r="C41" s="73" t="s">
        <v>88</v>
      </c>
      <c r="D41" s="12" t="s">
        <v>64</v>
      </c>
    </row>
    <row r="42" spans="2:4" ht="43.5" x14ac:dyDescent="0.35">
      <c r="B42" s="72" t="s">
        <v>74</v>
      </c>
      <c r="C42" s="73" t="s">
        <v>41</v>
      </c>
      <c r="D42" s="93" t="s">
        <v>75</v>
      </c>
    </row>
    <row r="43" spans="2:4" ht="58" x14ac:dyDescent="0.35">
      <c r="B43" s="66" t="s">
        <v>76</v>
      </c>
      <c r="C43" s="78" t="s">
        <v>89</v>
      </c>
      <c r="D43" s="79" t="s">
        <v>77</v>
      </c>
    </row>
    <row r="44" spans="2:4" x14ac:dyDescent="0.35">
      <c r="B44" s="80" t="s">
        <v>108</v>
      </c>
      <c r="C44" s="81" t="s">
        <v>106</v>
      </c>
      <c r="D44" s="82" t="s">
        <v>110</v>
      </c>
    </row>
    <row r="45" spans="2:4" x14ac:dyDescent="0.35">
      <c r="B45" s="80" t="s">
        <v>109</v>
      </c>
      <c r="C45" s="81" t="s">
        <v>107</v>
      </c>
      <c r="D45" s="76" t="s">
        <v>110</v>
      </c>
    </row>
    <row r="47" spans="2:4" x14ac:dyDescent="0.35">
      <c r="B47" s="68" t="s">
        <v>78</v>
      </c>
    </row>
    <row r="48" spans="2:4" x14ac:dyDescent="0.35">
      <c r="B48" s="83" t="s">
        <v>112</v>
      </c>
    </row>
    <row r="50" spans="2:4" x14ac:dyDescent="0.35">
      <c r="B50" s="102" t="s">
        <v>79</v>
      </c>
      <c r="C50" s="102"/>
      <c r="D50" s="102"/>
    </row>
    <row r="51" spans="2:4" ht="15" customHeight="1" x14ac:dyDescent="0.35">
      <c r="B51" s="103" t="s">
        <v>80</v>
      </c>
      <c r="C51" s="103"/>
      <c r="D51" s="103"/>
    </row>
    <row r="55" spans="2:4" ht="26" x14ac:dyDescent="0.6">
      <c r="B55" s="84" t="s">
        <v>93</v>
      </c>
      <c r="D55" s="85" t="s">
        <v>94</v>
      </c>
    </row>
    <row r="64" spans="2:4" ht="14.5" customHeight="1" x14ac:dyDescent="0.35"/>
  </sheetData>
  <sheetProtection algorithmName="SHA-512" hashValue="NuCFwZUMp4WNfnF5Rm5nBVIzZaRx8H9eXLzX0yEo3ziqsyv8eC5C+3E6FkfbG5P3+rFvClpAbdmowwhGcNOB3Q==" saltValue="yKXuUEe8966egH07lZggnQ==" spinCount="100000" sheet="1" formatCells="0" formatColumns="0" formatRows="0" insertColumns="0" insertRows="0" insertHyperlinks="0" deleteColumns="0" deleteRows="0" sort="0" autoFilter="0" pivotTables="0"/>
  <mergeCells count="3">
    <mergeCell ref="B2:D3"/>
    <mergeCell ref="B50:D50"/>
    <mergeCell ref="B51:D5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0CAC7-3450-4039-A05C-B4B714DFD4A6}">
  <sheetPr codeName="Sheet3"/>
  <dimension ref="A1:Q52"/>
  <sheetViews>
    <sheetView showGridLines="0" tabSelected="1" zoomScale="70" zoomScaleNormal="70" workbookViewId="0">
      <selection activeCell="C4" sqref="C4"/>
    </sheetView>
  </sheetViews>
  <sheetFormatPr defaultColWidth="0" defaultRowHeight="14.5" zeroHeight="1" x14ac:dyDescent="0.35"/>
  <cols>
    <col min="1" max="1" width="1.7265625" style="49" customWidth="1"/>
    <col min="2" max="2" width="95.1796875" style="49" bestFit="1" customWidth="1"/>
    <col min="3" max="3" width="16.1796875" style="49" customWidth="1"/>
    <col min="4" max="4" width="1.26953125" style="49" customWidth="1"/>
    <col min="5" max="5" width="0.453125" style="49" customWidth="1"/>
    <col min="6" max="6" width="1.26953125" style="49" customWidth="1"/>
    <col min="7" max="7" width="84.7265625" style="31" bestFit="1" customWidth="1"/>
    <col min="8" max="8" width="41.7265625" style="32" bestFit="1" customWidth="1"/>
    <col min="9" max="9" width="20" style="31" customWidth="1"/>
    <col min="10" max="10" width="1.7265625" style="31" customWidth="1"/>
    <col min="11" max="17" width="0" style="1" hidden="1" customWidth="1"/>
    <col min="18" max="16384" width="8.81640625" style="1" hidden="1"/>
  </cols>
  <sheetData>
    <row r="1" spans="1:10" ht="4.9000000000000004" customHeight="1" x14ac:dyDescent="0.35">
      <c r="A1" s="1"/>
      <c r="B1" s="1"/>
      <c r="C1" s="1"/>
      <c r="D1" s="1"/>
      <c r="E1" s="1"/>
      <c r="F1" s="1"/>
      <c r="G1" s="37"/>
      <c r="H1" s="38"/>
      <c r="I1" s="37"/>
      <c r="J1" s="37"/>
    </row>
    <row r="2" spans="1:10" ht="18" customHeight="1" x14ac:dyDescent="0.35">
      <c r="A2" s="1"/>
      <c r="B2" s="105" t="str">
        <f>IF(C4 = "FR","Estimation du coût de votre Plan Cafétaria en NET","De kostenraming voor uw Cafétaria Plan in netto")</f>
        <v>De kostenraming voor uw Cafétaria Plan in netto</v>
      </c>
      <c r="C2" s="106"/>
      <c r="D2" s="106"/>
      <c r="E2" s="106"/>
      <c r="F2" s="106"/>
      <c r="G2" s="106"/>
      <c r="H2" s="106"/>
      <c r="I2" s="107"/>
      <c r="J2" s="1"/>
    </row>
    <row r="3" spans="1:10" ht="6" customHeight="1" x14ac:dyDescent="0.35">
      <c r="A3" s="1"/>
      <c r="B3" s="1"/>
      <c r="C3" s="1"/>
      <c r="D3" s="1"/>
      <c r="E3" s="1"/>
      <c r="F3" s="1"/>
      <c r="G3" s="1"/>
      <c r="H3" s="1"/>
      <c r="I3" s="1"/>
      <c r="J3" s="1"/>
    </row>
    <row r="4" spans="1:10" ht="18" customHeight="1" x14ac:dyDescent="0.35">
      <c r="A4" s="1"/>
      <c r="B4" s="48" t="s">
        <v>81</v>
      </c>
      <c r="C4" s="94" t="s">
        <v>115</v>
      </c>
      <c r="D4" s="1"/>
      <c r="E4" s="1"/>
      <c r="F4" s="1"/>
      <c r="G4" s="1"/>
      <c r="H4" s="1"/>
      <c r="I4" s="1"/>
      <c r="J4" s="1"/>
    </row>
    <row r="5" spans="1:10" ht="6" customHeight="1" x14ac:dyDescent="0.35">
      <c r="A5" s="1"/>
      <c r="B5" s="1"/>
      <c r="C5" s="1"/>
      <c r="D5" s="1"/>
      <c r="E5" s="1"/>
      <c r="F5" s="1"/>
      <c r="G5" s="1"/>
      <c r="H5" s="2"/>
      <c r="I5" s="1"/>
      <c r="J5" s="1"/>
    </row>
    <row r="6" spans="1:10" ht="30.65" customHeight="1" x14ac:dyDescent="0.35">
      <c r="A6" s="1"/>
      <c r="B6" s="118" t="str">
        <f>IF(C4 = "FR","Informations générales","Algemene informatie")</f>
        <v>Algemene informatie</v>
      </c>
      <c r="C6" s="119"/>
      <c r="D6" s="1"/>
      <c r="E6" s="3"/>
      <c r="F6" s="1"/>
      <c r="G6" s="118" t="str">
        <f>IF(C4 = "FR","Composition du plan cafetaria","Samenstelling van het cafetariaplan")</f>
        <v>Samenstelling van het cafetariaplan</v>
      </c>
      <c r="H6" s="119"/>
      <c r="I6" s="4" t="str">
        <f>IF(C4 = "FR","Contribution en Unit","Unit contributie")</f>
        <v>Unit contributie</v>
      </c>
      <c r="J6" s="1"/>
    </row>
    <row r="7" spans="1:10" ht="21" customHeight="1" x14ac:dyDescent="0.35">
      <c r="A7" s="1"/>
      <c r="B7" s="61" t="str">
        <f>IF(C4 = "FR","Voiture plan Cafétaria ou Voiture de Statut","Cafetaria wagen of Statuut wagen")</f>
        <v>Cafetaria wagen of Statuut wagen</v>
      </c>
      <c r="C7" s="62" t="s">
        <v>91</v>
      </c>
      <c r="D7" s="1"/>
      <c r="E7" s="5"/>
      <c r="F7" s="1"/>
      <c r="G7" s="1"/>
      <c r="H7" s="2"/>
      <c r="I7" s="1"/>
      <c r="J7" s="1"/>
    </row>
    <row r="8" spans="1:10" x14ac:dyDescent="0.35">
      <c r="A8" s="1"/>
      <c r="B8" s="6" t="str">
        <f>IF(C4 = "FR","Rémunération de base mensuel fixe en EUR (RBMF)","Vast maandelijks basisloon in EUR ( VMBL)")</f>
        <v>Vast maandelijks basisloon in EUR ( VMBL)</v>
      </c>
      <c r="C8" s="34">
        <v>0</v>
      </c>
      <c r="D8" s="1"/>
      <c r="E8" s="5"/>
      <c r="F8" s="1"/>
      <c r="G8" s="7" t="str">
        <f>IF(C4 = "FR","Voiture Cafétaria","Cafetariawagen")</f>
        <v>Cafetariawagen</v>
      </c>
      <c r="H8" s="36" t="s">
        <v>92</v>
      </c>
      <c r="I8" s="1"/>
      <c r="J8" s="1"/>
    </row>
    <row r="9" spans="1:10" x14ac:dyDescent="0.35">
      <c r="A9" s="1"/>
      <c r="B9" s="46" t="str">
        <f>IF(C4 = "FR","Octroi mensuel fixe en units (OMFU) ","Maandelijkse vaste toekenning in UNITS ( MVTU)")</f>
        <v>Maandelijkse vaste toekenning in UNITS ( MVTU)</v>
      </c>
      <c r="C9" s="34">
        <v>0</v>
      </c>
      <c r="D9" s="1"/>
      <c r="E9" s="5"/>
      <c r="F9" s="1"/>
      <c r="G9" s="7" t="str">
        <f>IF(C4 = "FR","Plan de Pension (units) : Uniquement si OMFU","Pensioenplan ( units ) : alleen als MVTU")</f>
        <v>Pensioenplan ( units ) : alleen als MVTU</v>
      </c>
      <c r="H9" s="50" t="s">
        <v>92</v>
      </c>
      <c r="I9" s="1"/>
      <c r="J9" s="1"/>
    </row>
    <row r="10" spans="1:10" x14ac:dyDescent="0.35">
      <c r="A10" s="1"/>
      <c r="B10" s="7" t="str">
        <f>IF(C4 = "FR","Rémunération mensuel fixe en EUR (RMF)","Vaste maandelijkse betaling in EUR ( VMB)")</f>
        <v>Vaste maandelijkse betaling in EUR ( VMB)</v>
      </c>
      <c r="C10" s="8">
        <f>C8+C9</f>
        <v>0</v>
      </c>
      <c r="D10" s="1"/>
      <c r="E10" s="5"/>
      <c r="F10" s="1"/>
      <c r="G10" s="11" t="str">
        <f>IF(C4 = "FR","Abonnement SNCB","Abonnement NMBS")</f>
        <v>Abonnement NMBS</v>
      </c>
      <c r="H10" s="95" t="s">
        <v>113</v>
      </c>
      <c r="I10" s="10">
        <f>IF(H10="Non / Nee",0,IF(H10="Oui - 1ère Classe / Ja Eerste klas",100,50))</f>
        <v>0</v>
      </c>
      <c r="J10" s="1"/>
    </row>
    <row r="11" spans="1:10" x14ac:dyDescent="0.35">
      <c r="A11" s="1"/>
      <c r="B11" s="12"/>
      <c r="C11" s="1"/>
      <c r="D11" s="1"/>
      <c r="E11" s="5"/>
      <c r="F11" s="1"/>
      <c r="G11" s="11" t="str">
        <f>IF(C4 = "FR","Abonnement STIB","Abonnement MIVB/ De LIJN")</f>
        <v>Abonnement MIVB/ De LIJN</v>
      </c>
      <c r="H11" s="52">
        <v>0</v>
      </c>
      <c r="I11" s="10">
        <f>H11</f>
        <v>0</v>
      </c>
      <c r="J11" s="1"/>
    </row>
    <row r="12" spans="1:10" x14ac:dyDescent="0.35">
      <c r="A12" s="1"/>
      <c r="B12" s="6" t="str">
        <f>IF(C4 = "FR","13ème mois en units (1/12 salaire brut RBMF - hors OMFU)","13de maand in units ( 1/12 bruto loon  VMBL - uitgezonderd MVTU )")</f>
        <v>13de maand in units ( 1/12 bruto loon  VMBL - uitgezonderd MVTU )</v>
      </c>
      <c r="C12" s="10">
        <f>C8/12</f>
        <v>0</v>
      </c>
      <c r="D12" s="1"/>
      <c r="E12" s="5"/>
      <c r="F12" s="1"/>
      <c r="G12" s="54" t="str">
        <f>IF(C4 = "FR","Ipad - Iphone - Abonnement Tel","Ipad-Iphone-Abonnement Tel")</f>
        <v>Ipad-Iphone-Abonnement Tel</v>
      </c>
      <c r="H12" s="63">
        <v>0</v>
      </c>
      <c r="I12" s="10">
        <f>IF(C18=0,H12,IF(C18&lt;H12,H12-C18,0))</f>
        <v>0</v>
      </c>
      <c r="J12" s="1"/>
    </row>
    <row r="13" spans="1:10" x14ac:dyDescent="0.35">
      <c r="A13" s="1"/>
      <c r="B13" s="6" t="str">
        <f>IF(C4 = "FR","Units provenant des OMFU utilisés soit pour le SPP soit payés directement en cash (salaire)","UNITS afkomstig van het MVTU  gebruikt voor ofwel het SPP(special pension plan)ofwel uitbetaald in cash (loon)")</f>
        <v>UNITS afkomstig van het MVTU  gebruikt voor ofwel het SPP(special pension plan)ofwel uitbetaald in cash (loon)</v>
      </c>
      <c r="C13" s="13">
        <f>ROUNDDOWN(C9/2,0)</f>
        <v>0</v>
      </c>
      <c r="D13" s="1"/>
      <c r="E13" s="5"/>
      <c r="F13" s="1"/>
      <c r="G13" s="11" t="str">
        <f>IF(C4 = "FR","Multimedia Plan - Internet At Home","Multimedia Plan - Internet At Home")</f>
        <v>Multimedia Plan - Internet At Home</v>
      </c>
      <c r="H13" s="36" t="s">
        <v>92</v>
      </c>
      <c r="I13" s="10">
        <f>IF(H13="Oui/Ja",25,0)</f>
        <v>0</v>
      </c>
      <c r="J13" s="1"/>
    </row>
    <row r="14" spans="1:10" x14ac:dyDescent="0.35">
      <c r="A14" s="1"/>
      <c r="B14" s="14" t="str">
        <f>IF(C4 = "FR","Units provenant des OMFU disponible pour le plan cafétaria","UNITS afkomstig van het OMFU beschikbaar voor het cafetariaplan")</f>
        <v>UNITS afkomstig van het OMFU beschikbaar voor het cafetariaplan</v>
      </c>
      <c r="C14" s="10">
        <f>ROUNDDOWN(C9/2,0)</f>
        <v>0</v>
      </c>
      <c r="D14" s="1"/>
      <c r="E14" s="5"/>
      <c r="F14" s="1"/>
      <c r="G14" s="11"/>
      <c r="H14" s="51"/>
      <c r="I14" s="10"/>
      <c r="J14" s="1"/>
    </row>
    <row r="15" spans="1:10" x14ac:dyDescent="0.35">
      <c r="A15" s="1"/>
      <c r="B15" s="6" t="str">
        <f>IF(C4 = "FR","Mobility Plan","Mobility Plan")</f>
        <v>Mobility Plan</v>
      </c>
      <c r="C15" s="35">
        <v>0</v>
      </c>
      <c r="D15" s="1"/>
      <c r="E15" s="5"/>
      <c r="F15" s="1"/>
      <c r="G15" s="11"/>
      <c r="H15" s="51"/>
      <c r="I15" s="10"/>
      <c r="J15" s="1"/>
    </row>
    <row r="16" spans="1:10" x14ac:dyDescent="0.35">
      <c r="A16" s="1"/>
      <c r="B16" s="6" t="str">
        <f>IF(C4 = "FR","Multimedia Plan - Internet At Home","Multimedia Plan - Internet At Home")</f>
        <v>Multimedia Plan - Internet At Home</v>
      </c>
      <c r="C16" s="35">
        <v>0</v>
      </c>
      <c r="D16" s="1"/>
      <c r="E16" s="5"/>
      <c r="F16" s="1"/>
      <c r="G16" s="11" t="str">
        <f>IF(C4 = "FR","Type de voiture (contribution min en units)","Voertuigtype (minimumbijdrage in UNITS)")</f>
        <v>Voertuigtype (minimumbijdrage in UNITS)</v>
      </c>
      <c r="H16" s="51" t="s">
        <v>114</v>
      </c>
      <c r="I16" s="10">
        <f>IF(H8="Oui/Ja",IF(H16="Cafetaria",300,250),0)</f>
        <v>0</v>
      </c>
      <c r="J16" s="1"/>
    </row>
    <row r="17" spans="2:9" s="1" customFormat="1" x14ac:dyDescent="0.35">
      <c r="B17" s="7" t="str">
        <f>IF(C4 = "FR","Units mensuels disponibles pour le plan cafétaria","UNITS maandelijks beschikbaar voor het cafetariaplan")</f>
        <v>UNITS maandelijks beschikbaar voor het cafetariaplan</v>
      </c>
      <c r="C17" s="10">
        <f>C11+C12+C13+C14+C15+C16</f>
        <v>0</v>
      </c>
      <c r="E17" s="5"/>
      <c r="G17" s="11" t="str">
        <f>IF(C4 = "FR","Type de motorisation (Pour la contribution personnelle maximum)","Type van motorisatie ( voor de maximale persoonlijke bijdrage)")</f>
        <v>Type van motorisatie ( voor de maximale persoonlijke bijdrage)</v>
      </c>
      <c r="H17" s="51" t="s">
        <v>100</v>
      </c>
      <c r="I17" s="10">
        <f>IF(H8="Oui/Ja",IF(H17="Electrique / Elektrische",300,(IF(H17="Hybride / Hybride",200,100))),0)</f>
        <v>0</v>
      </c>
    </row>
    <row r="18" spans="2:9" s="1" customFormat="1" x14ac:dyDescent="0.35">
      <c r="B18" s="54" t="str">
        <f>IF(C4 = "FR","Voice &amp; Data - Smartphone Plan (Voucher)","Voice &amp; Data - Smartphone Plan (Voucher)")</f>
        <v>Voice &amp; Data - Smartphone Plan (Voucher)</v>
      </c>
      <c r="C18" s="63">
        <v>0</v>
      </c>
      <c r="E18" s="5"/>
      <c r="G18" s="11" t="str">
        <f>IF(C4 = "FR","Solution de recharge","Laadoplossing")</f>
        <v>Laadoplossing</v>
      </c>
      <c r="H18" s="51" t="s">
        <v>90</v>
      </c>
      <c r="I18" s="10">
        <f>IF(H8="Oui/Ja",IF(H17="Hybride / Hybride",IF(H18="Charge Pack",25,0),IF(H17= "Electrique / Elektrische",IF(H18="Charge Pack",25,0),0)),)</f>
        <v>0</v>
      </c>
    </row>
    <row r="19" spans="2:9" s="1" customFormat="1" x14ac:dyDescent="0.35">
      <c r="B19" s="12"/>
      <c r="E19" s="5"/>
      <c r="G19" s="11" t="str">
        <f>IF(C4 = "FR","Paiement mensuel en cash des units résiduels","Maandelijkse betaling in cash van de resterende units")</f>
        <v>Maandelijkse betaling in cash van de resterende units</v>
      </c>
      <c r="H19" s="36" t="s">
        <v>101</v>
      </c>
      <c r="I19" s="10">
        <f>IF(H19="Oui/Ja",IF(SUM(H22:H27)&lt;C17,C17-SUM(H22:H27),0),0)</f>
        <v>0</v>
      </c>
    </row>
    <row r="20" spans="2:9" s="1" customFormat="1" x14ac:dyDescent="0.35">
      <c r="B20" s="6" t="str">
        <f>IF(C4 = "FR","Taux de Taxation Marginal","Marginale aanslagvoet ")</f>
        <v xml:space="preserve">Marginale aanslagvoet </v>
      </c>
      <c r="C20" s="17">
        <v>0.53500000000000003</v>
      </c>
      <c r="E20" s="5"/>
      <c r="H20" s="2"/>
    </row>
    <row r="21" spans="2:9" s="1" customFormat="1" ht="15.5" x14ac:dyDescent="0.35">
      <c r="B21" s="6" t="str">
        <f>IF(C4 = "FR","ATN de la Voiture (annuel) =&gt; min 1540 en 2023","Voordeel van alle aard (jaarlijks) --&gt; min.1540,00€ in 2023")</f>
        <v>Voordeel van alle aard (jaarlijks) --&gt; min.1540,00€ in 2023</v>
      </c>
      <c r="C21" s="34">
        <v>0</v>
      </c>
      <c r="E21" s="5"/>
      <c r="G21" s="108" t="str">
        <f>IF(C4 = "FR","Impact en unit de la composition du Plan cafétaria","Impact op de  UNITS door de samenstelling van het cafetariaplan")</f>
        <v>Impact op de  UNITS door de samenstelling van het cafetariaplan</v>
      </c>
      <c r="H21" s="109"/>
    </row>
    <row r="22" spans="2:9" s="1" customFormat="1" x14ac:dyDescent="0.35">
      <c r="B22" s="6" t="str">
        <f>IF(C4 = "FR","Réserve de Units sur Units Account","Reserve  op UNITS rekening")</f>
        <v>Reserve  op UNITS rekening</v>
      </c>
      <c r="C22" s="35">
        <v>0</v>
      </c>
      <c r="E22" s="5"/>
      <c r="G22" s="47" t="str">
        <f>IF(H9="Oui/Ja",IF(C4="FR","1. SPP Plan de pension","1. SPP Pensioenplan"),IF(C4="FR","1. Paiement en cash dans votre salaire","1. Contante betaling in uw salaris"))</f>
        <v>1. Contante betaling in uw salaris</v>
      </c>
      <c r="H22" s="9">
        <f>ROUNDDOWN(C9/2,0)</f>
        <v>0</v>
      </c>
    </row>
    <row r="23" spans="2:9" s="1" customFormat="1" x14ac:dyDescent="0.35">
      <c r="B23" s="53"/>
      <c r="C23" s="53"/>
      <c r="E23" s="5"/>
      <c r="G23" s="18" t="str">
        <f>IF(C4 = "FR","2. Abonnement train / stib","2. Abonnement NMBS / MIVB /De LIJN ")</f>
        <v xml:space="preserve">2. Abonnement NMBS / MIVB /De LIJN </v>
      </c>
      <c r="H23" s="9">
        <f>I10+I11</f>
        <v>0</v>
      </c>
    </row>
    <row r="24" spans="2:9" s="1" customFormat="1" x14ac:dyDescent="0.35">
      <c r="B24" s="12"/>
      <c r="E24" s="5"/>
      <c r="G24" s="18" t="str">
        <f>IF(C4 = "FR","3. Abonnement Tel - Iphone - Ipad","3. Abonnement Tel - Iphone - Ipad")</f>
        <v>3. Abonnement Tel - Iphone - Ipad</v>
      </c>
      <c r="H24" s="9">
        <f>I12</f>
        <v>0</v>
      </c>
      <c r="I24" s="19">
        <f>C9/2-I9</f>
        <v>0</v>
      </c>
    </row>
    <row r="25" spans="2:9" s="1" customFormat="1" x14ac:dyDescent="0.35">
      <c r="B25" s="6" t="str">
        <f>IF(C4 = "FR","TCO voiture Cafétaria (en fonction du salaire brut)","TCO cafetariawagen ( in functie van het brutoloon )")</f>
        <v>TCO cafetariawagen ( in functie van het brutoloon )</v>
      </c>
      <c r="C25" s="10">
        <f>IF(H8 = "Oui/Ja",IF(C7 = "Statut",680,IF(C8 &lt;&gt; 0,IF(C10&lt;3000,440,(IF(C10&lt;4000,440,(IF(C10&lt;5000,520,(IF(C10&lt;6000,600,680))))))),0)),0)</f>
        <v>0</v>
      </c>
      <c r="E25" s="5"/>
      <c r="G25" s="18" t="str">
        <f>IF(C4 = "FR","4. Internet At Home","4. Internet At Home")</f>
        <v>4. Internet At Home</v>
      </c>
      <c r="H25" s="9">
        <f>I13</f>
        <v>0</v>
      </c>
    </row>
    <row r="26" spans="2:9" s="1" customFormat="1" x14ac:dyDescent="0.35">
      <c r="B26" s="6" t="str">
        <f>IF(C4 = "FR","TCO Réel","TCO Werkelijke ( = reële)")</f>
        <v>TCO Werkelijke ( = reële)</v>
      </c>
      <c r="C26" s="35">
        <v>0</v>
      </c>
      <c r="E26" s="5"/>
      <c r="G26" s="18" t="str">
        <f>IF(C4 = "FR","5. Voiture","5. Wagen")</f>
        <v>5. Wagen</v>
      </c>
      <c r="H26" s="9">
        <f>C27</f>
        <v>0</v>
      </c>
    </row>
    <row r="27" spans="2:9" s="1" customFormat="1" ht="15" thickBot="1" x14ac:dyDescent="0.4">
      <c r="B27" s="6" t="str">
        <f>IF(C4 = "FR","Coût réel de la voiture (Spending Units)"," Werkelijke / Reële kostprijs van de wagen ( gebruikte UNITS )")</f>
        <v xml:space="preserve"> Werkelijke / Reële kostprijs van de wagen ( gebruikte UNITS )</v>
      </c>
      <c r="C27" s="10">
        <f>IF(H8="Oui/Ja",IF(C7 = "Cafetaria",IF(C8&lt;3000,IF(C26&lt;440,300,300+(C26-C25)),IF(C26=0,(C10*0.05+150),IF(C10*0.05+150-(C25-C26)&lt;$I$13,$I$13,C10*0.05+150-(C25-C26)))),C26),0)</f>
        <v>0</v>
      </c>
      <c r="E27" s="5"/>
      <c r="G27" s="18"/>
      <c r="H27" s="15"/>
    </row>
    <row r="28" spans="2:9" s="1" customFormat="1" ht="15" thickTop="1" x14ac:dyDescent="0.35">
      <c r="B28" s="12"/>
      <c r="E28" s="5"/>
      <c r="G28" s="20" t="str">
        <f>IF(C4 = "FR","Units nécessaire pour le Plan Cafétaria    ","UNITS  nodig voor het cafetariaplan")</f>
        <v>UNITS  nodig voor het cafetariaplan</v>
      </c>
      <c r="H28" s="16">
        <f>SUM(H22:H27)</f>
        <v>0</v>
      </c>
    </row>
    <row r="29" spans="2:9" s="1" customFormat="1" x14ac:dyDescent="0.35">
      <c r="B29" s="6" t="str">
        <f>IF(C4 = "FR","Units mensuel disponible pour la voiture","Maandelijks beschikbare UNITS voor de wagen")</f>
        <v>Maandelijks beschikbare UNITS voor de wagen</v>
      </c>
      <c r="C29" s="10">
        <f>IF(C17-H28+H26+C22&gt;=C27,C27,C17-H28+H26+C22)</f>
        <v>0</v>
      </c>
      <c r="E29" s="5"/>
      <c r="G29" s="21" t="str">
        <f>IF(C4 = "FR","* : nous avons pris le maximum des units disponibles pour les convertir en cash","* We hebben het maximum van de beschikbare UNITS genomen voor omzetting in CASH")</f>
        <v>* We hebben het maximum van de beschikbare UNITS genomen voor omzetting in CASH</v>
      </c>
      <c r="H29" s="2"/>
    </row>
    <row r="30" spans="2:9" s="1" customFormat="1" x14ac:dyDescent="0.35">
      <c r="B30" s="12"/>
      <c r="E30" s="5"/>
    </row>
    <row r="31" spans="2:9" s="1" customFormat="1" ht="15.5" x14ac:dyDescent="0.35">
      <c r="B31" s="6" t="str">
        <f>IF(C4 = "FR","Contribution personnelle (en cash)","Persoonlijke bijdrage ( in cash)")</f>
        <v>Persoonlijke bijdrage ( in cash)</v>
      </c>
      <c r="C31" s="22">
        <f>IF(C27 &lt;=C29,0,ABS(C29-C27))</f>
        <v>0</v>
      </c>
      <c r="E31" s="5"/>
      <c r="G31" s="108" t="str">
        <f>IF(C4= "FR","Estimation du coût de votre Plan cafétaria en Net","Schatting van de netto kostprijs van je cafetariaplan")</f>
        <v>Schatting van de netto kostprijs van je cafetariaplan</v>
      </c>
      <c r="H31" s="109"/>
    </row>
    <row r="32" spans="2:9" s="1" customFormat="1" x14ac:dyDescent="0.35">
      <c r="B32" s="6" t="str">
        <f>IF(C4 = "FR","ATN mensuel (change chaque mois)","Maandelijks voordeel alle aard ( wijzigt elke maand)")</f>
        <v>Maandelijks voordeel alle aard ( wijzigt elke maand)</v>
      </c>
      <c r="C32" s="23">
        <f>C21/12</f>
        <v>0</v>
      </c>
      <c r="E32" s="5"/>
      <c r="G32" s="7" t="str">
        <f>IF(C4 = "FR","Coût en euro de la voiture (contribution Units + contribution perso + ATN)","Kostprijs van de wagen in EURO ( Bijdrage in UNITS + persoonlijke bijdrage + Voordeel Alle Aard)")</f>
        <v>Kostprijs van de wagen in EURO ( Bijdrage in UNITS + persoonlijke bijdrage + Voordeel Alle Aard)</v>
      </c>
      <c r="H32" s="24">
        <f>(C29*0.87*0.465)+C31+C33</f>
        <v>0</v>
      </c>
    </row>
    <row r="33" spans="1:10" x14ac:dyDescent="0.35">
      <c r="A33" s="1"/>
      <c r="B33" s="6" t="str">
        <f>IF(C4 = "FR","Valeur cash ATN (décompté du salaire)","Cash  waarde voordeel van alle aard ( ingehouden op salaris)")</f>
        <v>Cash  waarde voordeel van alle aard ( ingehouden op salaris)</v>
      </c>
      <c r="C33" s="22">
        <f>IF(C31=0,C32*C20,IF(C32&gt;C31,(C32-C31)*C20,0))</f>
        <v>0</v>
      </c>
      <c r="D33" s="1"/>
      <c r="E33" s="5"/>
      <c r="F33" s="1"/>
      <c r="G33" s="7" t="str">
        <f>IF(C4 = "FR","Coût en euro des autres produits (Plan de pension, Abo., Materiel…)","Kostprijs van andere producten in EURO ( Pensioenplan, Abonnement,Materiaal…)")</f>
        <v>Kostprijs van andere producten in EURO ( Pensioenplan, Abonnement,Materiaal…)</v>
      </c>
      <c r="H33" s="24">
        <f>IF(H9="Oui/Ja",(H22+H23+H24+H25)*0.87*0.465,(H23+H24+H25)*0.87*0.465)</f>
        <v>0</v>
      </c>
      <c r="I33" s="1"/>
      <c r="J33" s="1"/>
    </row>
    <row r="34" spans="1:10" ht="15" thickBot="1" x14ac:dyDescent="0.4">
      <c r="A34" s="1"/>
      <c r="B34" s="12"/>
      <c r="C34" s="1"/>
      <c r="D34" s="1"/>
      <c r="E34" s="5"/>
      <c r="F34" s="1"/>
      <c r="G34" s="25" t="str">
        <f>IF(C4 = "FR","Coût total mensuel en euro du plan cafétaria","Totale maandelijkse kostprijs in EURO van het cafetariaplan")</f>
        <v>Totale maandelijkse kostprijs in EURO van het cafetariaplan</v>
      </c>
      <c r="H34" s="26">
        <f>SUM(H32:H33)</f>
        <v>0</v>
      </c>
      <c r="I34" s="1"/>
      <c r="J34" s="1"/>
    </row>
    <row r="35" spans="1:10" ht="15" thickTop="1" x14ac:dyDescent="0.35">
      <c r="A35" s="1"/>
      <c r="B35" s="7" t="str">
        <f>IF(C4 = "FR","Ce qui sera décompté de votre salaire en NET","Wat er netto van uw salaris wordt ingehouden")</f>
        <v>Wat er netto van uw salaris wordt ingehouden</v>
      </c>
      <c r="C35" s="28">
        <f>C31+C33</f>
        <v>0</v>
      </c>
      <c r="D35" s="1"/>
      <c r="E35" s="5"/>
      <c r="F35" s="1"/>
      <c r="G35" s="29" t="str">
        <f>IF(C4 = "FR","Estimation du Coût total du plan cafétaria (1 an) :","Schatting van de totale kostprijs van het cafetariaplan ( 1 jaar)")</f>
        <v>Schatting van de totale kostprijs van het cafetariaplan ( 1 jaar)</v>
      </c>
      <c r="H35" s="27">
        <f>12*H34</f>
        <v>0</v>
      </c>
      <c r="I35" s="1"/>
      <c r="J35" s="1"/>
    </row>
    <row r="36" spans="1:10" ht="18" customHeight="1" x14ac:dyDescent="0.35">
      <c r="A36" s="1"/>
      <c r="B36" s="1"/>
      <c r="C36" s="1"/>
      <c r="D36" s="1"/>
      <c r="E36" s="5"/>
      <c r="F36" s="1"/>
      <c r="G36" s="1"/>
      <c r="H36" s="2"/>
      <c r="I36" s="1"/>
      <c r="J36" s="1"/>
    </row>
    <row r="37" spans="1:10" s="30" customFormat="1" ht="15.65" customHeight="1" x14ac:dyDescent="0.35">
      <c r="B37" s="108" t="str">
        <f>IF(C4 = "FR","Impact de vos nouveaux choix plan cafétaria sur votre salaire","Impact van de nieuwe keuze in het cafetariaplan op je salaris")</f>
        <v>Impact van de nieuwe keuze in het cafetariaplan op je salaris</v>
      </c>
      <c r="C37" s="109"/>
      <c r="E37" s="5"/>
      <c r="G37" s="116" t="str">
        <f>IF(C4 = "FR","Remarques","Opmerkingen")</f>
        <v>Opmerkingen</v>
      </c>
      <c r="H37" s="40"/>
      <c r="I37" s="41"/>
      <c r="J37" s="39"/>
    </row>
    <row r="38" spans="1:10" ht="9" customHeight="1" x14ac:dyDescent="0.35">
      <c r="A38" s="1"/>
      <c r="B38" s="1"/>
      <c r="C38" s="1"/>
      <c r="D38" s="1"/>
      <c r="E38" s="5"/>
      <c r="F38" s="1"/>
      <c r="G38" s="117"/>
      <c r="H38" s="39"/>
      <c r="I38" s="42"/>
      <c r="J38" s="39"/>
    </row>
    <row r="39" spans="1:10" ht="14.5" customHeight="1" x14ac:dyDescent="0.35">
      <c r="A39" s="1"/>
      <c r="B39" s="6" t="str">
        <f>IF(C4 = "FR","Dernier Salaire Net","Laatste netto salaris")</f>
        <v>Laatste netto salaris</v>
      </c>
      <c r="C39" s="55">
        <v>0</v>
      </c>
      <c r="D39" s="1"/>
      <c r="E39" s="5"/>
      <c r="F39" s="1"/>
      <c r="G39" s="110" t="str">
        <f>IF(C4 = "FR","Cet outil vous est donné à but informatif et la CNE ne peut en aucun cas être tenue responsable en cas de mauvaise utilisation / simulation pour votre situation personnelle.","Deze tool wordt u informatief ter beschikking gesteld  en ACV Puls kan op geen enkele manier verantwoordelijk worden gehouden in geval van misbruik / foutieve simulatie voor uw persoonlijke situatie.")</f>
        <v>Deze tool wordt u informatief ter beschikking gesteld  en ACV Puls kan op geen enkele manier verantwoordelijk worden gehouden in geval van misbruik / foutieve simulatie voor uw persoonlijke situatie.</v>
      </c>
      <c r="H39" s="39"/>
      <c r="I39" s="42"/>
      <c r="J39" s="39"/>
    </row>
    <row r="40" spans="1:10" ht="14.5" customHeight="1" x14ac:dyDescent="0.35">
      <c r="A40" s="1"/>
      <c r="B40" s="60" t="str">
        <f>IF(C4 = "FR","Contribution personnelle voiture (fiche de paye 5CUN)","Eigen bedrag wagen")</f>
        <v>Eigen bedrag wagen</v>
      </c>
      <c r="C40" s="55">
        <v>0</v>
      </c>
      <c r="D40" s="1"/>
      <c r="E40" s="5"/>
      <c r="F40" s="1"/>
      <c r="G40" s="110"/>
      <c r="H40" s="39"/>
      <c r="I40" s="42"/>
      <c r="J40" s="39"/>
    </row>
    <row r="41" spans="1:10" x14ac:dyDescent="0.35">
      <c r="A41" s="1"/>
      <c r="B41" s="6" t="str">
        <f>IF(C4 = "FR","ATN mensuel ancien Véhicule (fiche de paye /162)","Maandelijks bedrag Voordeel Alle Aard oud voertuig ( loonfiche /162)")</f>
        <v>Maandelijks bedrag Voordeel Alle Aard oud voertuig ( loonfiche /162)</v>
      </c>
      <c r="C41" s="55">
        <v>0</v>
      </c>
      <c r="D41" s="1"/>
      <c r="E41" s="5"/>
      <c r="F41" s="1"/>
      <c r="G41" s="111"/>
      <c r="H41" s="39"/>
      <c r="I41" s="42"/>
      <c r="J41" s="39"/>
    </row>
    <row r="42" spans="1:10" x14ac:dyDescent="0.35">
      <c r="A42" s="1"/>
      <c r="B42" s="6" t="str">
        <f>IF(C4 = "FR","Salaire Net sans Voiture cafétaria","Netto loon zonder cafetariawagen")</f>
        <v>Netto loon zonder cafetariawagen</v>
      </c>
      <c r="C42" s="56">
        <f>C39+C40+(C41*C20)</f>
        <v>0</v>
      </c>
      <c r="D42" s="1"/>
      <c r="E42" s="5"/>
      <c r="F42" s="1"/>
      <c r="G42" s="111"/>
      <c r="H42" s="39"/>
      <c r="I42" s="42"/>
      <c r="J42" s="39"/>
    </row>
    <row r="43" spans="1:10" ht="9" customHeight="1" x14ac:dyDescent="0.35">
      <c r="A43" s="1"/>
      <c r="B43" s="1"/>
      <c r="C43" s="57"/>
      <c r="D43" s="1"/>
      <c r="E43" s="5"/>
      <c r="F43" s="1"/>
      <c r="G43" s="64"/>
      <c r="H43" s="39"/>
      <c r="I43" s="42"/>
      <c r="J43" s="39"/>
    </row>
    <row r="44" spans="1:10" x14ac:dyDescent="0.35">
      <c r="A44" s="1"/>
      <c r="B44" s="6" t="str">
        <f>IF(C4 = "FR","Salaire Net sans ATN de l'ancien véhicule cafétaria","Netto loon zonder voordeel alle aard van oude cafetariawagen")</f>
        <v>Netto loon zonder voordeel alle aard van oude cafetariawagen</v>
      </c>
      <c r="C44" s="56">
        <f>C42</f>
        <v>0</v>
      </c>
      <c r="D44" s="1"/>
      <c r="E44" s="5"/>
      <c r="F44" s="1"/>
      <c r="G44" s="114" t="str">
        <f>IF(C4 = "FR","Afin de s'assurer d'avoir la version développée par nos soins, toujours privilégier la version qui sera distribuée par Gianni Tabbone.","Om ervoor te zorgen dat we de door ons ontwikkelde versie hebben, geef altijd de voorkeur aan de versie die door  Peter Vandermaelen/Gianni Tabbone zal worden ter beschikking gesteld.")</f>
        <v>Om ervoor te zorgen dat we de door ons ontwikkelde versie hebben, geef altijd de voorkeur aan de versie die door  Peter Vandermaelen/Gianni Tabbone zal worden ter beschikking gesteld.</v>
      </c>
      <c r="H44" s="39"/>
      <c r="I44" s="42"/>
      <c r="J44" s="39"/>
    </row>
    <row r="45" spans="1:10" x14ac:dyDescent="0.35">
      <c r="A45" s="1"/>
      <c r="B45" s="6" t="str">
        <f>IF(C4 = "FR","Coût ATN Nouveau Véhicule","Kostprijs Voordeel Alle Aard nieuw voertuig")</f>
        <v>Kostprijs Voordeel Alle Aard nieuw voertuig</v>
      </c>
      <c r="C45" s="58">
        <f>C33</f>
        <v>0</v>
      </c>
      <c r="D45" s="1"/>
      <c r="E45" s="5"/>
      <c r="F45" s="1"/>
      <c r="G45" s="115"/>
      <c r="H45" s="39"/>
      <c r="I45" s="42"/>
      <c r="J45" s="39"/>
    </row>
    <row r="46" spans="1:10" x14ac:dyDescent="0.35">
      <c r="A46" s="1"/>
      <c r="B46" s="6" t="str">
        <f>IF(C4 = "FR","Contribution personnelle (en cash) du plan cafétaria","Persoonlijke bijdrage ( in cash) in het cafetariaplan")</f>
        <v>Persoonlijke bijdrage ( in cash) in het cafetariaplan</v>
      </c>
      <c r="C46" s="58">
        <f>C31</f>
        <v>0</v>
      </c>
      <c r="D46" s="1"/>
      <c r="E46" s="5"/>
      <c r="F46" s="1"/>
      <c r="G46" s="115"/>
      <c r="H46" s="39"/>
      <c r="I46" s="42"/>
      <c r="J46" s="39"/>
    </row>
    <row r="47" spans="1:10" x14ac:dyDescent="0.35">
      <c r="A47" s="1"/>
      <c r="B47" s="6" t="str">
        <f>IF(C4 = "FR","Remboursement électricité","Elektriciteitsvergoeding")</f>
        <v>Elektriciteitsvergoeding</v>
      </c>
      <c r="C47" s="55">
        <v>0</v>
      </c>
      <c r="D47" s="1"/>
      <c r="E47" s="5"/>
      <c r="F47" s="1"/>
      <c r="G47" s="64" t="str">
        <f>IF(C4 = "FR","Michael Halet reste à votre disposition si vous avez d'autres questions.","Peter Vandermaelen blijft tot uw beschikking als u nog vragen heeft.")</f>
        <v>Peter Vandermaelen blijft tot uw beschikking als u nog vragen heeft.</v>
      </c>
      <c r="H47" s="39"/>
      <c r="I47" s="42"/>
      <c r="J47" s="39"/>
    </row>
    <row r="48" spans="1:10" ht="14.5" customHeight="1" x14ac:dyDescent="0.35">
      <c r="A48" s="1"/>
      <c r="B48" s="6" t="str">
        <f>IF(C4 = "FR","Valorisation des units payés en cash","Waardebepaling van de betaalde units in cash")</f>
        <v>Waardebepaling van de betaalde units in cash</v>
      </c>
      <c r="C48" s="58">
        <f>I19*0.87*0.465</f>
        <v>0</v>
      </c>
      <c r="D48" s="1"/>
      <c r="E48" s="5"/>
      <c r="F48" s="1"/>
      <c r="G48" s="112" t="s">
        <v>99</v>
      </c>
      <c r="H48" s="38"/>
      <c r="I48" s="43"/>
      <c r="J48" s="37"/>
    </row>
    <row r="49" spans="1:10" x14ac:dyDescent="0.35">
      <c r="A49" s="1"/>
      <c r="B49" s="6" t="str">
        <f>IF(C4 = "FR","Salaire Net avec nouveau véhicule cafétaria","Netto loon met nieuwe cafetariawagen")</f>
        <v>Netto loon met nieuwe cafetariawagen</v>
      </c>
      <c r="C49" s="59">
        <f>C44-C45-C31+C47+C48</f>
        <v>0</v>
      </c>
      <c r="D49" s="1"/>
      <c r="E49" s="33"/>
      <c r="F49" s="1"/>
      <c r="G49" s="113"/>
      <c r="H49" s="44"/>
      <c r="I49" s="45"/>
      <c r="J49" s="37"/>
    </row>
    <row r="50" spans="1:10" ht="12" customHeight="1" x14ac:dyDescent="0.35">
      <c r="A50" s="1"/>
      <c r="B50" s="1"/>
      <c r="C50" s="1"/>
      <c r="D50" s="1"/>
      <c r="E50" s="1"/>
      <c r="F50" s="1"/>
      <c r="G50" s="37"/>
      <c r="H50" s="38"/>
      <c r="I50" s="37"/>
      <c r="J50" s="37"/>
    </row>
    <row r="51" spans="1:10" x14ac:dyDescent="0.35">
      <c r="A51" s="31"/>
      <c r="B51" s="31"/>
      <c r="C51" s="31"/>
      <c r="D51" s="31"/>
      <c r="E51" s="31"/>
      <c r="F51" s="31"/>
    </row>
    <row r="52" spans="1:10" x14ac:dyDescent="0.35"/>
  </sheetData>
  <sheetProtection algorithmName="SHA-512" hashValue="ZLDNi4DEkHn7vUPWjtZZ/fFiR19f/vE0FYM/ThpV2CuCX2aJICRWjHcsunfr9hz7+X6rAPrcy6WzrRfQz1JTtA==" saltValue="NwgGoiHJYo7o4AzNFSudvg==" spinCount="100000" sheet="1" formatCells="0" formatColumns="0" formatRows="0" insertColumns="0" insertRows="0" insertHyperlinks="0" deleteColumns="0" deleteRows="0" sort="0" autoFilter="0" pivotTables="0"/>
  <mergeCells count="10">
    <mergeCell ref="G48:G49"/>
    <mergeCell ref="G44:G46"/>
    <mergeCell ref="G37:G38"/>
    <mergeCell ref="B6:C6"/>
    <mergeCell ref="G6:H6"/>
    <mergeCell ref="B2:I2"/>
    <mergeCell ref="G21:H21"/>
    <mergeCell ref="B37:C37"/>
    <mergeCell ref="G31:H31"/>
    <mergeCell ref="G39:G42"/>
  </mergeCells>
  <conditionalFormatting sqref="H14:H16">
    <cfRule type="expression" dxfId="5" priority="7">
      <formula>IF($H$8="Oui/Ja",TRUE,FALSE)</formula>
    </cfRule>
  </conditionalFormatting>
  <conditionalFormatting sqref="H17">
    <cfRule type="expression" dxfId="4" priority="6">
      <formula>IF($H$8="Oui/Ja",TRUE,FALSE)</formula>
    </cfRule>
  </conditionalFormatting>
  <conditionalFormatting sqref="H9">
    <cfRule type="expression" dxfId="3" priority="4">
      <formula>IF(C9&gt;0,TRUE,FALSE)</formula>
    </cfRule>
  </conditionalFormatting>
  <conditionalFormatting sqref="H18">
    <cfRule type="expression" dxfId="2" priority="3">
      <formula>IF($H$8="Oui/Ja",IF($H$17="Hybride / Hybride",TRUE,IF($H$17="Electrique / Elektrische",TRUE,FALSE)),FALSE)</formula>
    </cfRule>
  </conditionalFormatting>
  <conditionalFormatting sqref="H11">
    <cfRule type="expression" dxfId="1" priority="1">
      <formula>IF($H$8="Oui/Ja",TRUE,FALSE)</formula>
    </cfRule>
  </conditionalFormatting>
  <conditionalFormatting sqref="C26">
    <cfRule type="expression" dxfId="0" priority="12">
      <formula>IF(C26&gt;(C25+I17+I18),TRUE,FALSE)</formula>
    </cfRule>
  </conditionalFormatting>
  <dataValidations count="8">
    <dataValidation type="list" allowBlank="1" showInputMessage="1" showErrorMessage="1" sqref="H14:H16" xr:uid="{64A3F4A7-FF76-41A1-83DA-E7F834E3CF5E}">
      <formula1>"Cafetaria,Pool"</formula1>
    </dataValidation>
    <dataValidation type="list" allowBlank="1" showInputMessage="1" showErrorMessage="1" sqref="H17" xr:uid="{5EF96484-C87F-4A06-BE85-218478E714C0}">
      <formula1>"Essence ou Diesel / Benzine of Diesel,Hybride / Hybride,Electrique / Elektrische"</formula1>
    </dataValidation>
    <dataValidation type="list" allowBlank="1" showInputMessage="1" showErrorMessage="1" sqref="H10" xr:uid="{EBAF30FD-3C6C-4022-97EB-2B1ABB0ED60F}">
      <formula1>"Non / Nee,Oui - 1ère Classe / Ja Eerste klas, Oui - 2ème classe / Ja Tweede Klas"</formula1>
    </dataValidation>
    <dataValidation type="whole" allowBlank="1" showInputMessage="1" showErrorMessage="1" sqref="H11" xr:uid="{E5ED28C7-0E60-49F2-985F-8AEC3C451C56}">
      <formula1>0</formula1>
      <formula2>50</formula2>
    </dataValidation>
    <dataValidation type="list" allowBlank="1" showInputMessage="1" showErrorMessage="1" sqref="H19 H8:H9 H13" xr:uid="{1AD5A746-B8B0-4B42-AF0A-D11D8C830999}">
      <formula1>"Oui/Ja,Non/Nee"</formula1>
    </dataValidation>
    <dataValidation type="list" allowBlank="1" showInputMessage="1" showErrorMessage="1" sqref="C4" xr:uid="{58DFAE4A-165A-41A7-86E7-FED21E161C50}">
      <formula1>"FR,NL"</formula1>
    </dataValidation>
    <dataValidation type="list" allowBlank="1" showInputMessage="1" showErrorMessage="1" sqref="H18" xr:uid="{3AE8B66B-FDA2-42AC-B985-545F1ECDB661}">
      <formula1>"Aucune / Zonder,Charge Pack"</formula1>
    </dataValidation>
    <dataValidation type="list" allowBlank="1" showInputMessage="1" showErrorMessage="1" sqref="C7" xr:uid="{2024741C-B54F-4FB3-9078-9CD10318F9FE}">
      <formula1>"Cafetaria,Statut"</formula1>
    </dataValidation>
  </dataValidations>
  <pageMargins left="0.7" right="0.7" top="0.75" bottom="0.75" header="0.3" footer="0.3"/>
  <pageSetup orientation="portrait" r:id="rId1"/>
  <headerFooter>
    <oddFooter>&amp;R&amp;1#&amp;"Calibri"&amp;10&amp;K0000FFClassification : Internal</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Infos Sheet - FR</vt:lpstr>
      <vt:lpstr>Infos Sheet - NL</vt:lpstr>
      <vt:lpstr>Plan Cafétaria - CafetariaPlan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Halet Michael</dc:creator>
  <cp:keywords/>
  <dc:description/>
  <cp:lastModifiedBy>Rumes Kenneth</cp:lastModifiedBy>
  <cp:revision/>
  <dcterms:created xsi:type="dcterms:W3CDTF">2021-11-17T06:58:39Z</dcterms:created>
  <dcterms:modified xsi:type="dcterms:W3CDTF">2024-03-26T13:15:05Z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2e1ed0-4700-41e0-aec3-61ed249f3333_Enabled">
    <vt:lpwstr>true</vt:lpwstr>
  </property>
  <property fmtid="{D5CDD505-2E9C-101B-9397-08002B2CF9AE}" pid="3" name="MSIP_Label_812e1ed0-4700-41e0-aec3-61ed249f3333_SetDate">
    <vt:lpwstr>2022-03-18T12:46:14Z</vt:lpwstr>
  </property>
  <property fmtid="{D5CDD505-2E9C-101B-9397-08002B2CF9AE}" pid="4" name="MSIP_Label_812e1ed0-4700-41e0-aec3-61ed249f3333_Method">
    <vt:lpwstr>Standard</vt:lpwstr>
  </property>
  <property fmtid="{D5CDD505-2E9C-101B-9397-08002B2CF9AE}" pid="5" name="MSIP_Label_812e1ed0-4700-41e0-aec3-61ed249f3333_Name">
    <vt:lpwstr>Internal - Standard</vt:lpwstr>
  </property>
  <property fmtid="{D5CDD505-2E9C-101B-9397-08002B2CF9AE}" pid="6" name="MSIP_Label_812e1ed0-4700-41e0-aec3-61ed249f3333_SiteId">
    <vt:lpwstr>614f9c25-bffa-42c7-86d8-964101f55fa2</vt:lpwstr>
  </property>
  <property fmtid="{D5CDD505-2E9C-101B-9397-08002B2CF9AE}" pid="7" name="MSIP_Label_812e1ed0-4700-41e0-aec3-61ed249f3333_ActionId">
    <vt:lpwstr>8c6b1b28-744d-468f-b54c-8f0105f80e20</vt:lpwstr>
  </property>
  <property fmtid="{D5CDD505-2E9C-101B-9397-08002B2CF9AE}" pid="8" name="MSIP_Label_812e1ed0-4700-41e0-aec3-61ed249f3333_ContentBits">
    <vt:lpwstr>2</vt:lpwstr>
  </property>
</Properties>
</file>